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600" windowHeight="7680" tabRatio="829" activeTab="3"/>
  </bookViews>
  <sheets>
    <sheet name="Investment" sheetId="35" r:id="rId1"/>
    <sheet name="FFIUL" sheetId="40" r:id="rId2"/>
    <sheet name="FLR-CAP" sheetId="31" r:id="rId3"/>
    <sheet name="2Brothers" sheetId="21" r:id="rId4"/>
    <sheet name="InvHouse" sheetId="41" r:id="rId5"/>
    <sheet name="EquityFunds" sheetId="32" r:id="rId6"/>
    <sheet name="Indexes" sheetId="42" r:id="rId7"/>
    <sheet name="SP500" sheetId="34" r:id="rId8"/>
  </sheets>
  <definedNames>
    <definedName name="_xlnm.Print_Area" localSheetId="3">'2Brothers'!$A$1:$I$50</definedName>
  </definedNames>
  <calcPr calcId="145621"/>
</workbook>
</file>

<file path=xl/calcChain.xml><?xml version="1.0" encoding="utf-8"?>
<calcChain xmlns="http://schemas.openxmlformats.org/spreadsheetml/2006/main">
  <c r="AC14" i="31" l="1"/>
  <c r="J10" i="32" l="1"/>
  <c r="J9" i="32"/>
  <c r="J6" i="32"/>
  <c r="J8" i="32"/>
  <c r="J7" i="32"/>
  <c r="AC34" i="31" l="1"/>
  <c r="F17" i="21"/>
  <c r="D5" i="31" l="1"/>
  <c r="O5" i="31" s="1"/>
  <c r="D6" i="31"/>
  <c r="O6" i="31" s="1"/>
  <c r="D7" i="31"/>
  <c r="O7" i="31" s="1"/>
  <c r="D8" i="31"/>
  <c r="O8" i="31" s="1"/>
  <c r="D9" i="31"/>
  <c r="O9" i="31" s="1"/>
  <c r="D10" i="31"/>
  <c r="O10" i="31" s="1"/>
  <c r="D11" i="31"/>
  <c r="O11" i="31" s="1"/>
  <c r="D12" i="31"/>
  <c r="O12" i="31" s="1"/>
  <c r="D13" i="31"/>
  <c r="O13" i="31" s="1"/>
  <c r="D14" i="31"/>
  <c r="O14" i="31" s="1"/>
  <c r="D15" i="31"/>
  <c r="O15" i="31" s="1"/>
  <c r="D16" i="31"/>
  <c r="O16" i="31" s="1"/>
  <c r="D17" i="31"/>
  <c r="O17" i="31" s="1"/>
  <c r="D18" i="31"/>
  <c r="O18" i="31" s="1"/>
  <c r="D19" i="31"/>
  <c r="O19" i="31" s="1"/>
  <c r="D20" i="31"/>
  <c r="O20" i="31" s="1"/>
  <c r="D21" i="31"/>
  <c r="O21" i="31" s="1"/>
  <c r="D22" i="31"/>
  <c r="O22" i="31" s="1"/>
  <c r="D23" i="31"/>
  <c r="O23" i="31" s="1"/>
  <c r="D24" i="31"/>
  <c r="O24" i="31" s="1"/>
  <c r="D25" i="31"/>
  <c r="O25" i="31" s="1"/>
  <c r="D26" i="31"/>
  <c r="O26" i="31" s="1"/>
  <c r="D27" i="31"/>
  <c r="O27" i="31" s="1"/>
  <c r="D28" i="31"/>
  <c r="O28" i="31" s="1"/>
  <c r="D29" i="31"/>
  <c r="O29" i="31" s="1"/>
  <c r="D30" i="31"/>
  <c r="O30" i="31" s="1"/>
  <c r="D31" i="31"/>
  <c r="O31" i="31" s="1"/>
  <c r="D32" i="31"/>
  <c r="O32" i="31" s="1"/>
  <c r="D33" i="31"/>
  <c r="O33" i="31" s="1"/>
  <c r="D34" i="31"/>
  <c r="O34" i="31" s="1"/>
  <c r="D35" i="31"/>
  <c r="O35" i="31" s="1"/>
  <c r="D36" i="31"/>
  <c r="O36" i="31" s="1"/>
  <c r="D37" i="31"/>
  <c r="O37" i="31" s="1"/>
  <c r="D38" i="31"/>
  <c r="O38" i="31" s="1"/>
  <c r="D39" i="31"/>
  <c r="O39" i="31" s="1"/>
  <c r="D40" i="31"/>
  <c r="O40" i="31" s="1"/>
  <c r="D41" i="31"/>
  <c r="O41" i="31" s="1"/>
  <c r="D42" i="31"/>
  <c r="O42" i="31" s="1"/>
  <c r="D43" i="31"/>
  <c r="O43" i="31" s="1"/>
  <c r="D44" i="31"/>
  <c r="O44" i="31" s="1"/>
  <c r="D45" i="31"/>
  <c r="O45" i="31" s="1"/>
  <c r="D46" i="31"/>
  <c r="O46" i="31" s="1"/>
  <c r="D47" i="31"/>
  <c r="O47" i="31" s="1"/>
  <c r="D48" i="31"/>
  <c r="O48" i="31" s="1"/>
  <c r="D49" i="31"/>
  <c r="O49" i="31" s="1"/>
  <c r="D50" i="31"/>
  <c r="O50" i="31" s="1"/>
  <c r="D51" i="31"/>
  <c r="O51" i="31" s="1"/>
  <c r="D52" i="31"/>
  <c r="O52" i="31" s="1"/>
  <c r="D53" i="31"/>
  <c r="O53" i="31" s="1"/>
  <c r="D54" i="31"/>
  <c r="O54" i="31" s="1"/>
  <c r="D55" i="31"/>
  <c r="O55" i="31" s="1"/>
  <c r="D56" i="31"/>
  <c r="O56" i="31" s="1"/>
  <c r="D57" i="31"/>
  <c r="O57" i="31" s="1"/>
  <c r="D58" i="31"/>
  <c r="O58" i="31" s="1"/>
  <c r="D59" i="31"/>
  <c r="O59" i="31" s="1"/>
  <c r="D60" i="31"/>
  <c r="O60" i="31" s="1"/>
  <c r="D61" i="31"/>
  <c r="O61" i="31" s="1"/>
  <c r="D62" i="31"/>
  <c r="O62" i="31" s="1"/>
  <c r="D63" i="31"/>
  <c r="O63" i="31" s="1"/>
  <c r="D64" i="31"/>
  <c r="O64" i="31" s="1"/>
  <c r="D65" i="31"/>
  <c r="O65" i="31" s="1"/>
  <c r="D66" i="31"/>
  <c r="O66" i="31" s="1"/>
  <c r="D67" i="31"/>
  <c r="O67" i="31" s="1"/>
  <c r="D68" i="31"/>
  <c r="O68" i="31" s="1"/>
  <c r="D69" i="31"/>
  <c r="O69" i="31" s="1"/>
  <c r="D70" i="31"/>
  <c r="O70" i="31" s="1"/>
  <c r="D71" i="31"/>
  <c r="O71" i="31" s="1"/>
  <c r="D72" i="31"/>
  <c r="O72" i="31" s="1"/>
  <c r="D73" i="31"/>
  <c r="O73" i="31" s="1"/>
  <c r="D74" i="31"/>
  <c r="O74" i="31" s="1"/>
  <c r="D75" i="31"/>
  <c r="O75" i="31" s="1"/>
  <c r="D76" i="31"/>
  <c r="O76" i="31" s="1"/>
  <c r="D77" i="31"/>
  <c r="O77" i="31" s="1"/>
  <c r="D78" i="31"/>
  <c r="O78" i="31" s="1"/>
  <c r="D79" i="31"/>
  <c r="O79" i="31" s="1"/>
  <c r="D80" i="31"/>
  <c r="O80" i="31" s="1"/>
  <c r="D81" i="31"/>
  <c r="O81" i="31" s="1"/>
  <c r="D82" i="31"/>
  <c r="O82" i="31" s="1"/>
  <c r="D83" i="31"/>
  <c r="O83" i="31" s="1"/>
  <c r="D84" i="31"/>
  <c r="O84" i="31" s="1"/>
  <c r="D85" i="31"/>
  <c r="O85" i="31" s="1"/>
  <c r="D86" i="31"/>
  <c r="O86" i="31" s="1"/>
  <c r="D87" i="31"/>
  <c r="O87" i="31" s="1"/>
  <c r="D88" i="31"/>
  <c r="O88" i="31" s="1"/>
  <c r="D89" i="31"/>
  <c r="O89" i="31" s="1"/>
  <c r="D90" i="31"/>
  <c r="O90" i="31" s="1"/>
  <c r="D91" i="31"/>
  <c r="O91" i="31" s="1"/>
  <c r="D92" i="31"/>
  <c r="O92" i="31" s="1"/>
  <c r="D93" i="31"/>
  <c r="O93" i="31" s="1"/>
  <c r="D94" i="31"/>
  <c r="O94" i="31" s="1"/>
  <c r="D95" i="31"/>
  <c r="O95" i="31" s="1"/>
  <c r="D96" i="31"/>
  <c r="O96" i="31" s="1"/>
  <c r="D4" i="31"/>
  <c r="O4" i="31" s="1"/>
  <c r="B96" i="31"/>
  <c r="C96" i="31"/>
  <c r="Q3" i="40" l="1"/>
  <c r="U7" i="35" l="1"/>
  <c r="T7" i="35"/>
  <c r="U8" i="35" s="1"/>
  <c r="T8" i="35" l="1"/>
  <c r="U9" i="35" s="1"/>
  <c r="P3" i="21"/>
  <c r="T9" i="35" l="1"/>
  <c r="U10" i="35" s="1"/>
  <c r="C93" i="31"/>
  <c r="C94" i="31"/>
  <c r="C95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4" i="31"/>
  <c r="C4" i="31"/>
  <c r="T10" i="35" l="1"/>
  <c r="O53" i="40"/>
  <c r="Q53" i="40" s="1"/>
  <c r="O54" i="40"/>
  <c r="Q54" i="40" s="1"/>
  <c r="O55" i="40"/>
  <c r="Q55" i="40" s="1"/>
  <c r="O56" i="40"/>
  <c r="Q56" i="40" s="1"/>
  <c r="O57" i="40"/>
  <c r="Q57" i="40" s="1"/>
  <c r="O58" i="40"/>
  <c r="Q58" i="40" s="1"/>
  <c r="O59" i="40"/>
  <c r="Q59" i="40" s="1"/>
  <c r="O60" i="40"/>
  <c r="Q60" i="40" s="1"/>
  <c r="O61" i="40"/>
  <c r="Q61" i="40" s="1"/>
  <c r="O62" i="40"/>
  <c r="Q62" i="40" s="1"/>
  <c r="O63" i="40"/>
  <c r="Q63" i="40" s="1"/>
  <c r="O64" i="40"/>
  <c r="Q64" i="40" s="1"/>
  <c r="O65" i="40"/>
  <c r="Q65" i="40" s="1"/>
  <c r="O66" i="40"/>
  <c r="Q66" i="40" s="1"/>
  <c r="O67" i="40"/>
  <c r="Q67" i="40" s="1"/>
  <c r="T11" i="35" l="1"/>
  <c r="U12" i="35" s="1"/>
  <c r="U11" i="35"/>
  <c r="AL62" i="40"/>
  <c r="AL2" i="40"/>
  <c r="AL46" i="40"/>
  <c r="AL47" i="40"/>
  <c r="AL48" i="40"/>
  <c r="AL49" i="40"/>
  <c r="AL50" i="40"/>
  <c r="AL51" i="40"/>
  <c r="AL52" i="40"/>
  <c r="AL53" i="40"/>
  <c r="AL54" i="40"/>
  <c r="AL55" i="40"/>
  <c r="AL56" i="40"/>
  <c r="AL57" i="40"/>
  <c r="AL58" i="40"/>
  <c r="AL59" i="40"/>
  <c r="AL60" i="40"/>
  <c r="AL61" i="40"/>
  <c r="AL12" i="40"/>
  <c r="AL13" i="40"/>
  <c r="AL14" i="40"/>
  <c r="AL15" i="40"/>
  <c r="AL16" i="40"/>
  <c r="AL17" i="40"/>
  <c r="AL18" i="40"/>
  <c r="AL19" i="40"/>
  <c r="AL20" i="40"/>
  <c r="AL27" i="40"/>
  <c r="AL28" i="40"/>
  <c r="AL29" i="40"/>
  <c r="AL30" i="40"/>
  <c r="AL31" i="40"/>
  <c r="AL32" i="40"/>
  <c r="AL33" i="40"/>
  <c r="AL34" i="40"/>
  <c r="AL35" i="40"/>
  <c r="AL36" i="40"/>
  <c r="AL37" i="40"/>
  <c r="AL38" i="40"/>
  <c r="AL39" i="40"/>
  <c r="AL40" i="40"/>
  <c r="AL41" i="40"/>
  <c r="AL42" i="40"/>
  <c r="AL43" i="40"/>
  <c r="AL44" i="40"/>
  <c r="AL45" i="40"/>
  <c r="AK11" i="40"/>
  <c r="AK12" i="40" s="1"/>
  <c r="AK13" i="40" s="1"/>
  <c r="AK14" i="40" s="1"/>
  <c r="AK15" i="40" s="1"/>
  <c r="AK16" i="40" s="1"/>
  <c r="AK17" i="40" s="1"/>
  <c r="AK18" i="40" s="1"/>
  <c r="AK19" i="40" s="1"/>
  <c r="AK20" i="40" s="1"/>
  <c r="AJ22" i="40"/>
  <c r="AL22" i="40" s="1"/>
  <c r="AJ23" i="40"/>
  <c r="AL23" i="40" s="1"/>
  <c r="AJ24" i="40"/>
  <c r="AL24" i="40" s="1"/>
  <c r="AJ25" i="40"/>
  <c r="AL25" i="40" s="1"/>
  <c r="AJ26" i="40"/>
  <c r="AL26" i="40" s="1"/>
  <c r="AJ21" i="40"/>
  <c r="AL21" i="40" s="1"/>
  <c r="AH4" i="40"/>
  <c r="AH5" i="40"/>
  <c r="AH6" i="40"/>
  <c r="AH7" i="40"/>
  <c r="AH8" i="40"/>
  <c r="AH9" i="40"/>
  <c r="AH10" i="40"/>
  <c r="AH3" i="40"/>
  <c r="AI3" i="40" s="1"/>
  <c r="Q6" i="35"/>
  <c r="K6" i="35"/>
  <c r="I6" i="35"/>
  <c r="G6" i="35"/>
  <c r="F6" i="35"/>
  <c r="O4" i="40"/>
  <c r="Q4" i="40" s="1"/>
  <c r="O5" i="40"/>
  <c r="Q5" i="40" s="1"/>
  <c r="O6" i="40"/>
  <c r="Q6" i="40" s="1"/>
  <c r="J10" i="35" s="1"/>
  <c r="O7" i="40"/>
  <c r="Q7" i="40" s="1"/>
  <c r="J11" i="35" s="1"/>
  <c r="O8" i="40"/>
  <c r="Q8" i="40" s="1"/>
  <c r="J12" i="35" s="1"/>
  <c r="O9" i="40"/>
  <c r="Q9" i="40" s="1"/>
  <c r="J13" i="35" s="1"/>
  <c r="O10" i="40"/>
  <c r="Q10" i="40" s="1"/>
  <c r="J14" i="35" s="1"/>
  <c r="O11" i="40"/>
  <c r="Q11" i="40" s="1"/>
  <c r="J15" i="35" s="1"/>
  <c r="O12" i="40"/>
  <c r="Q12" i="40" s="1"/>
  <c r="J16" i="35" s="1"/>
  <c r="O13" i="40"/>
  <c r="Q13" i="40" s="1"/>
  <c r="J17" i="35" s="1"/>
  <c r="O14" i="40"/>
  <c r="Q14" i="40" s="1"/>
  <c r="J18" i="35" s="1"/>
  <c r="O15" i="40"/>
  <c r="Q15" i="40" s="1"/>
  <c r="J19" i="35" s="1"/>
  <c r="O16" i="40"/>
  <c r="Q16" i="40" s="1"/>
  <c r="J20" i="35" s="1"/>
  <c r="O17" i="40"/>
  <c r="Q17" i="40" s="1"/>
  <c r="J21" i="35" s="1"/>
  <c r="O18" i="40"/>
  <c r="Q18" i="40" s="1"/>
  <c r="J22" i="35" s="1"/>
  <c r="O19" i="40"/>
  <c r="Q19" i="40" s="1"/>
  <c r="J23" i="35" s="1"/>
  <c r="O20" i="40"/>
  <c r="Q20" i="40" s="1"/>
  <c r="J24" i="35" s="1"/>
  <c r="O21" i="40"/>
  <c r="Q21" i="40" s="1"/>
  <c r="J25" i="35" s="1"/>
  <c r="O22" i="40"/>
  <c r="Q22" i="40" s="1"/>
  <c r="J26" i="35" s="1"/>
  <c r="O23" i="40"/>
  <c r="Q23" i="40" s="1"/>
  <c r="J27" i="35" s="1"/>
  <c r="O24" i="40"/>
  <c r="Q24" i="40" s="1"/>
  <c r="J28" i="35" s="1"/>
  <c r="O25" i="40"/>
  <c r="Q25" i="40" s="1"/>
  <c r="J29" i="35" s="1"/>
  <c r="O26" i="40"/>
  <c r="Q26" i="40" s="1"/>
  <c r="J30" i="35" s="1"/>
  <c r="O27" i="40"/>
  <c r="Q27" i="40" s="1"/>
  <c r="J31" i="35" s="1"/>
  <c r="O28" i="40"/>
  <c r="Q28" i="40" s="1"/>
  <c r="J32" i="35" s="1"/>
  <c r="O29" i="40"/>
  <c r="Q29" i="40" s="1"/>
  <c r="J33" i="35" s="1"/>
  <c r="O30" i="40"/>
  <c r="Q30" i="40" s="1"/>
  <c r="J34" i="35" s="1"/>
  <c r="O31" i="40"/>
  <c r="Q31" i="40" s="1"/>
  <c r="J35" i="35" s="1"/>
  <c r="O32" i="40"/>
  <c r="Q32" i="40" s="1"/>
  <c r="J36" i="35" s="1"/>
  <c r="O33" i="40"/>
  <c r="Q33" i="40" s="1"/>
  <c r="J37" i="35" s="1"/>
  <c r="O34" i="40"/>
  <c r="Q34" i="40" s="1"/>
  <c r="J38" i="35" s="1"/>
  <c r="O35" i="40"/>
  <c r="Q35" i="40" s="1"/>
  <c r="J39" i="35" s="1"/>
  <c r="O36" i="40"/>
  <c r="Q36" i="40" s="1"/>
  <c r="J40" i="35" s="1"/>
  <c r="O37" i="40"/>
  <c r="Q37" i="40" s="1"/>
  <c r="J41" i="35" s="1"/>
  <c r="O38" i="40"/>
  <c r="Q38" i="40" s="1"/>
  <c r="J42" i="35" s="1"/>
  <c r="O39" i="40"/>
  <c r="Q39" i="40" s="1"/>
  <c r="J43" i="35" s="1"/>
  <c r="O40" i="40"/>
  <c r="Q40" i="40" s="1"/>
  <c r="J44" i="35" s="1"/>
  <c r="O41" i="40"/>
  <c r="Q41" i="40" s="1"/>
  <c r="J45" i="35" s="1"/>
  <c r="O42" i="40"/>
  <c r="Q42" i="40" s="1"/>
  <c r="J46" i="35" s="1"/>
  <c r="O43" i="40"/>
  <c r="Q43" i="40" s="1"/>
  <c r="J47" i="35" s="1"/>
  <c r="O44" i="40"/>
  <c r="Q44" i="40" s="1"/>
  <c r="J48" i="35" s="1"/>
  <c r="O45" i="40"/>
  <c r="Q45" i="40" s="1"/>
  <c r="J49" i="35" s="1"/>
  <c r="O46" i="40"/>
  <c r="Q46" i="40" s="1"/>
  <c r="J50" i="35" s="1"/>
  <c r="O47" i="40"/>
  <c r="Q47" i="40" s="1"/>
  <c r="J51" i="35" s="1"/>
  <c r="O48" i="40"/>
  <c r="Q48" i="40" s="1"/>
  <c r="J52" i="35" s="1"/>
  <c r="O49" i="40"/>
  <c r="Q49" i="40" s="1"/>
  <c r="J53" i="35" s="1"/>
  <c r="O50" i="40"/>
  <c r="Q50" i="40" s="1"/>
  <c r="J54" i="35" s="1"/>
  <c r="O51" i="40"/>
  <c r="Q51" i="40" s="1"/>
  <c r="J55" i="35" s="1"/>
  <c r="O52" i="40"/>
  <c r="Q52" i="40" s="1"/>
  <c r="J56" i="35" s="1"/>
  <c r="O3" i="40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7" i="35"/>
  <c r="J9" i="35" l="1"/>
  <c r="J8" i="35"/>
  <c r="R3" i="40"/>
  <c r="R4" i="40" s="1"/>
  <c r="R5" i="40" s="1"/>
  <c r="R6" i="40" s="1"/>
  <c r="R7" i="40" s="1"/>
  <c r="R8" i="40" s="1"/>
  <c r="R9" i="40" s="1"/>
  <c r="R10" i="40" s="1"/>
  <c r="R11" i="40" s="1"/>
  <c r="R12" i="40" s="1"/>
  <c r="R13" i="40" s="1"/>
  <c r="R14" i="40" s="1"/>
  <c r="R15" i="40" s="1"/>
  <c r="R16" i="40" s="1"/>
  <c r="R17" i="40" s="1"/>
  <c r="R18" i="40" s="1"/>
  <c r="R19" i="40" s="1"/>
  <c r="R20" i="40" s="1"/>
  <c r="R21" i="40" s="1"/>
  <c r="R22" i="40" s="1"/>
  <c r="R23" i="40" s="1"/>
  <c r="R24" i="40" s="1"/>
  <c r="R25" i="40" s="1"/>
  <c r="R26" i="40" s="1"/>
  <c r="R27" i="40" s="1"/>
  <c r="R28" i="40" s="1"/>
  <c r="R29" i="40" s="1"/>
  <c r="R30" i="40" s="1"/>
  <c r="R31" i="40" s="1"/>
  <c r="R32" i="40" s="1"/>
  <c r="R33" i="40" s="1"/>
  <c r="R34" i="40" s="1"/>
  <c r="R35" i="40" s="1"/>
  <c r="R36" i="40" s="1"/>
  <c r="R37" i="40" s="1"/>
  <c r="R38" i="40" s="1"/>
  <c r="R39" i="40" s="1"/>
  <c r="R40" i="40" s="1"/>
  <c r="R41" i="40" s="1"/>
  <c r="R42" i="40" s="1"/>
  <c r="R43" i="40" s="1"/>
  <c r="R44" i="40" s="1"/>
  <c r="R45" i="40" s="1"/>
  <c r="R46" i="40" s="1"/>
  <c r="R47" i="40" s="1"/>
  <c r="R48" i="40" s="1"/>
  <c r="R49" i="40" s="1"/>
  <c r="R50" i="40" s="1"/>
  <c r="R51" i="40" s="1"/>
  <c r="R52" i="40" s="1"/>
  <c r="R53" i="40" s="1"/>
  <c r="R54" i="40" s="1"/>
  <c r="R55" i="40" s="1"/>
  <c r="R56" i="40" s="1"/>
  <c r="R57" i="40" s="1"/>
  <c r="R58" i="40" s="1"/>
  <c r="R59" i="40" s="1"/>
  <c r="R60" i="40" s="1"/>
  <c r="R61" i="40" s="1"/>
  <c r="R62" i="40" s="1"/>
  <c r="R63" i="40" s="1"/>
  <c r="R64" i="40" s="1"/>
  <c r="R65" i="40" s="1"/>
  <c r="R66" i="40" s="1"/>
  <c r="R67" i="40" s="1"/>
  <c r="J7" i="35"/>
  <c r="T12" i="35"/>
  <c r="U13" i="35" s="1"/>
  <c r="G7" i="35"/>
  <c r="G8" i="35" s="1"/>
  <c r="G9" i="35" s="1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G34" i="35" s="1"/>
  <c r="G35" i="35" s="1"/>
  <c r="G36" i="35" s="1"/>
  <c r="G37" i="35" s="1"/>
  <c r="G38" i="35" s="1"/>
  <c r="G39" i="35" s="1"/>
  <c r="G40" i="35" s="1"/>
  <c r="G41" i="35" s="1"/>
  <c r="G42" i="35" s="1"/>
  <c r="G43" i="35" s="1"/>
  <c r="G44" i="35" s="1"/>
  <c r="G45" i="35" s="1"/>
  <c r="G46" i="35" s="1"/>
  <c r="G47" i="35" s="1"/>
  <c r="G48" i="35" s="1"/>
  <c r="G49" i="35" s="1"/>
  <c r="G50" i="35" s="1"/>
  <c r="G51" i="35" s="1"/>
  <c r="G52" i="35" s="1"/>
  <c r="G53" i="35" s="1"/>
  <c r="G54" i="35" s="1"/>
  <c r="G55" i="35" s="1"/>
  <c r="G56" i="35" s="1"/>
  <c r="F7" i="35"/>
  <c r="F8" i="35" s="1"/>
  <c r="F9" i="35" s="1"/>
  <c r="F10" i="35" s="1"/>
  <c r="F11" i="35" s="1"/>
  <c r="F12" i="35" s="1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34" i="35" s="1"/>
  <c r="F35" i="35" s="1"/>
  <c r="F36" i="35" s="1"/>
  <c r="F37" i="35" s="1"/>
  <c r="F38" i="35" s="1"/>
  <c r="F39" i="35" s="1"/>
  <c r="F40" i="35" s="1"/>
  <c r="F41" i="35" s="1"/>
  <c r="F42" i="35" s="1"/>
  <c r="F43" i="35" s="1"/>
  <c r="F44" i="35" s="1"/>
  <c r="F45" i="35" s="1"/>
  <c r="F46" i="35" s="1"/>
  <c r="F47" i="35" s="1"/>
  <c r="F48" i="35" s="1"/>
  <c r="F49" i="35" s="1"/>
  <c r="F50" i="35" s="1"/>
  <c r="F51" i="35" s="1"/>
  <c r="F52" i="35" s="1"/>
  <c r="F53" i="35" s="1"/>
  <c r="F54" i="35" s="1"/>
  <c r="F55" i="35" s="1"/>
  <c r="F56" i="35" s="1"/>
  <c r="O76" i="40"/>
  <c r="AL63" i="40"/>
  <c r="AI4" i="40"/>
  <c r="AI5" i="40" s="1"/>
  <c r="AI6" i="40" s="1"/>
  <c r="AI7" i="40" s="1"/>
  <c r="AI8" i="40" s="1"/>
  <c r="AI9" i="40" s="1"/>
  <c r="AI10" i="40" s="1"/>
  <c r="AI11" i="40" s="1"/>
  <c r="AI12" i="40" s="1"/>
  <c r="AI13" i="40" s="1"/>
  <c r="AI14" i="40" s="1"/>
  <c r="AI15" i="40" s="1"/>
  <c r="AI16" i="40" s="1"/>
  <c r="AI17" i="40" s="1"/>
  <c r="AI18" i="40" s="1"/>
  <c r="AI19" i="40" s="1"/>
  <c r="AI20" i="40" s="1"/>
  <c r="AI21" i="40" s="1"/>
  <c r="AI22" i="40" s="1"/>
  <c r="AI23" i="40" s="1"/>
  <c r="AI24" i="40" s="1"/>
  <c r="AI25" i="40" s="1"/>
  <c r="AI26" i="40" s="1"/>
  <c r="AI27" i="40" s="1"/>
  <c r="AI28" i="40" s="1"/>
  <c r="AI29" i="40" s="1"/>
  <c r="AI30" i="40" s="1"/>
  <c r="AI31" i="40" s="1"/>
  <c r="AI32" i="40" s="1"/>
  <c r="AK21" i="40"/>
  <c r="AK22" i="40" s="1"/>
  <c r="AK23" i="40" s="1"/>
  <c r="AK24" i="40" s="1"/>
  <c r="AK25" i="40" s="1"/>
  <c r="AK26" i="40" s="1"/>
  <c r="N16" i="42"/>
  <c r="N17" i="42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N40" i="42" s="1"/>
  <c r="N41" i="42" s="1"/>
  <c r="N42" i="42" s="1"/>
  <c r="N43" i="42" s="1"/>
  <c r="N44" i="42" s="1"/>
  <c r="N45" i="42" s="1"/>
  <c r="N46" i="42" s="1"/>
  <c r="M15" i="42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N15" i="42"/>
  <c r="L15" i="42"/>
  <c r="L16" i="42" s="1"/>
  <c r="L17" i="42" s="1"/>
  <c r="L18" i="42" s="1"/>
  <c r="L19" i="42" s="1"/>
  <c r="L20" i="42" s="1"/>
  <c r="L21" i="42" s="1"/>
  <c r="L22" i="42" s="1"/>
  <c r="L23" i="42" s="1"/>
  <c r="L24" i="42" s="1"/>
  <c r="L25" i="42" s="1"/>
  <c r="L26" i="42" s="1"/>
  <c r="L27" i="42" s="1"/>
  <c r="L28" i="42" s="1"/>
  <c r="L29" i="42" s="1"/>
  <c r="L30" i="42" s="1"/>
  <c r="L31" i="42" s="1"/>
  <c r="L32" i="42" s="1"/>
  <c r="L33" i="42" s="1"/>
  <c r="L34" i="42" s="1"/>
  <c r="L35" i="42" s="1"/>
  <c r="L36" i="42" s="1"/>
  <c r="L37" i="42" s="1"/>
  <c r="L38" i="42" s="1"/>
  <c r="L39" i="42" s="1"/>
  <c r="L40" i="42" s="1"/>
  <c r="L41" i="42" s="1"/>
  <c r="L42" i="42" s="1"/>
  <c r="L43" i="42" s="1"/>
  <c r="L44" i="42" s="1"/>
  <c r="L45" i="42" s="1"/>
  <c r="L46" i="42" s="1"/>
  <c r="H15" i="42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I15" i="42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J15" i="42"/>
  <c r="J16" i="42" s="1"/>
  <c r="G15" i="42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G37" i="42" s="1"/>
  <c r="G38" i="42" s="1"/>
  <c r="G39" i="42" s="1"/>
  <c r="G40" i="42" s="1"/>
  <c r="G41" i="42" s="1"/>
  <c r="G42" i="42" s="1"/>
  <c r="G43" i="42" s="1"/>
  <c r="G44" i="42" s="1"/>
  <c r="G45" i="42" s="1"/>
  <c r="G46" i="42" s="1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15" i="42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K37" i="42" s="1"/>
  <c r="K38" i="42" s="1"/>
  <c r="K39" i="42" s="1"/>
  <c r="K40" i="42" s="1"/>
  <c r="K41" i="42" s="1"/>
  <c r="K42" i="42" s="1"/>
  <c r="K43" i="42" s="1"/>
  <c r="K44" i="42" s="1"/>
  <c r="K45" i="42" s="1"/>
  <c r="K46" i="42" s="1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15" i="42"/>
  <c r="O15" i="42" s="1"/>
  <c r="O16" i="42" s="1"/>
  <c r="O17" i="42" s="1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T13" i="35" l="1"/>
  <c r="U14" i="35" s="1"/>
  <c r="J17" i="42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P15" i="42"/>
  <c r="P16" i="42" s="1"/>
  <c r="P17" i="42" s="1"/>
  <c r="P18" i="42" s="1"/>
  <c r="P19" i="42" s="1"/>
  <c r="P20" i="42" s="1"/>
  <c r="P21" i="42" s="1"/>
  <c r="P22" i="42" s="1"/>
  <c r="P23" i="42" s="1"/>
  <c r="P24" i="42" s="1"/>
  <c r="P25" i="42" s="1"/>
  <c r="P26" i="42" s="1"/>
  <c r="P27" i="42" s="1"/>
  <c r="P28" i="42" s="1"/>
  <c r="P29" i="42" s="1"/>
  <c r="P30" i="42" s="1"/>
  <c r="P31" i="42" s="1"/>
  <c r="P32" i="42" s="1"/>
  <c r="P33" i="42" s="1"/>
  <c r="P34" i="42" s="1"/>
  <c r="P35" i="42" s="1"/>
  <c r="P36" i="42" s="1"/>
  <c r="P37" i="42" s="1"/>
  <c r="P38" i="42" s="1"/>
  <c r="P39" i="42" s="1"/>
  <c r="P40" i="42" s="1"/>
  <c r="P41" i="42" s="1"/>
  <c r="P42" i="42" s="1"/>
  <c r="P43" i="42" s="1"/>
  <c r="P44" i="42" s="1"/>
  <c r="P45" i="42" s="1"/>
  <c r="P46" i="42" s="1"/>
  <c r="T14" i="35" l="1"/>
  <c r="U15" i="35" s="1"/>
  <c r="A8" i="35"/>
  <c r="M6" i="35"/>
  <c r="N6" i="35"/>
  <c r="O6" i="35"/>
  <c r="O7" i="35" s="1"/>
  <c r="P6" i="35"/>
  <c r="P7" i="35" s="1"/>
  <c r="P8" i="35" s="1"/>
  <c r="P9" i="35" s="1"/>
  <c r="P10" i="35" s="1"/>
  <c r="P11" i="35" s="1"/>
  <c r="P12" i="35" s="1"/>
  <c r="P13" i="35" s="1"/>
  <c r="P14" i="35" s="1"/>
  <c r="P15" i="35" s="1"/>
  <c r="P16" i="35" s="1"/>
  <c r="P17" i="35" s="1"/>
  <c r="P18" i="35" s="1"/>
  <c r="P19" i="35" s="1"/>
  <c r="P20" i="35" s="1"/>
  <c r="P21" i="35" s="1"/>
  <c r="P22" i="35" s="1"/>
  <c r="P23" i="35" s="1"/>
  <c r="P24" i="35" s="1"/>
  <c r="P25" i="35" s="1"/>
  <c r="P26" i="35" s="1"/>
  <c r="P27" i="35" s="1"/>
  <c r="P28" i="35" s="1"/>
  <c r="P29" i="35" s="1"/>
  <c r="P30" i="35" s="1"/>
  <c r="P31" i="35" s="1"/>
  <c r="P32" i="35" s="1"/>
  <c r="P33" i="35" s="1"/>
  <c r="P34" i="35" s="1"/>
  <c r="P35" i="35" s="1"/>
  <c r="P36" i="35" s="1"/>
  <c r="P37" i="35" s="1"/>
  <c r="P38" i="35" s="1"/>
  <c r="P39" i="35" s="1"/>
  <c r="P40" i="35" s="1"/>
  <c r="P41" i="35" s="1"/>
  <c r="P42" i="35" s="1"/>
  <c r="P43" i="35" s="1"/>
  <c r="P44" i="35" s="1"/>
  <c r="P45" i="35" s="1"/>
  <c r="P46" i="35" s="1"/>
  <c r="P47" i="35" s="1"/>
  <c r="P48" i="35" s="1"/>
  <c r="P49" i="35" s="1"/>
  <c r="P50" i="35" s="1"/>
  <c r="P51" i="35" s="1"/>
  <c r="P52" i="35" s="1"/>
  <c r="P53" i="35" s="1"/>
  <c r="P54" i="35" s="1"/>
  <c r="P55" i="35" s="1"/>
  <c r="P56" i="35" s="1"/>
  <c r="Q7" i="35"/>
  <c r="Q8" i="35" s="1"/>
  <c r="Q9" i="35" s="1"/>
  <c r="Q10" i="35" s="1"/>
  <c r="Q11" i="35" s="1"/>
  <c r="Q12" i="35" s="1"/>
  <c r="Q13" i="35" s="1"/>
  <c r="Q14" i="35" s="1"/>
  <c r="Q15" i="35" s="1"/>
  <c r="Q16" i="35" s="1"/>
  <c r="Q17" i="35" s="1"/>
  <c r="Q18" i="35" s="1"/>
  <c r="Q19" i="35" s="1"/>
  <c r="Q20" i="35" s="1"/>
  <c r="Q21" i="35" s="1"/>
  <c r="Q22" i="35" s="1"/>
  <c r="Q23" i="35" s="1"/>
  <c r="Q24" i="35" s="1"/>
  <c r="Q25" i="35" s="1"/>
  <c r="Q26" i="35" s="1"/>
  <c r="Q27" i="35" s="1"/>
  <c r="Q28" i="35" s="1"/>
  <c r="Q29" i="35" s="1"/>
  <c r="Q30" i="35" s="1"/>
  <c r="Q31" i="35" s="1"/>
  <c r="Q32" i="35" s="1"/>
  <c r="Q33" i="35" s="1"/>
  <c r="Q34" i="35" s="1"/>
  <c r="Q35" i="35" s="1"/>
  <c r="Q36" i="35" s="1"/>
  <c r="Q37" i="35" s="1"/>
  <c r="Q38" i="35" s="1"/>
  <c r="Q39" i="35" s="1"/>
  <c r="Q40" i="35" s="1"/>
  <c r="Q41" i="35" s="1"/>
  <c r="Q42" i="35" s="1"/>
  <c r="Q43" i="35" s="1"/>
  <c r="Q44" i="35" s="1"/>
  <c r="Q45" i="35" s="1"/>
  <c r="Q46" i="35" s="1"/>
  <c r="Q47" i="35" s="1"/>
  <c r="Q48" i="35" s="1"/>
  <c r="Q49" i="35" s="1"/>
  <c r="Q50" i="35" s="1"/>
  <c r="Q51" i="35" s="1"/>
  <c r="Q52" i="35" s="1"/>
  <c r="Q53" i="35" s="1"/>
  <c r="Q54" i="35" s="1"/>
  <c r="Q55" i="35" s="1"/>
  <c r="Q56" i="35" s="1"/>
  <c r="L6" i="35"/>
  <c r="B1" i="35"/>
  <c r="A1" i="35"/>
  <c r="AN99" i="35" s="1"/>
  <c r="T15" i="35" l="1"/>
  <c r="U16" i="35" s="1"/>
  <c r="L7" i="35"/>
  <c r="M7" i="35"/>
  <c r="H8" i="35"/>
  <c r="H16" i="35"/>
  <c r="H28" i="35"/>
  <c r="H40" i="35"/>
  <c r="H56" i="35"/>
  <c r="H9" i="35"/>
  <c r="V9" i="35" s="1"/>
  <c r="W9" i="35" s="1"/>
  <c r="H13" i="35"/>
  <c r="V13" i="35" s="1"/>
  <c r="W13" i="35" s="1"/>
  <c r="H17" i="35"/>
  <c r="H21" i="35"/>
  <c r="H25" i="35"/>
  <c r="H29" i="35"/>
  <c r="H33" i="35"/>
  <c r="H37" i="35"/>
  <c r="H41" i="35"/>
  <c r="H45" i="35"/>
  <c r="H49" i="35"/>
  <c r="H53" i="35"/>
  <c r="H7" i="35"/>
  <c r="H50" i="35"/>
  <c r="H36" i="35"/>
  <c r="H52" i="35"/>
  <c r="H10" i="35"/>
  <c r="V10" i="35" s="1"/>
  <c r="W10" i="35" s="1"/>
  <c r="H14" i="35"/>
  <c r="V14" i="35" s="1"/>
  <c r="W14" i="35" s="1"/>
  <c r="H18" i="35"/>
  <c r="H22" i="35"/>
  <c r="H26" i="35"/>
  <c r="H30" i="35"/>
  <c r="H34" i="35"/>
  <c r="H38" i="35"/>
  <c r="H42" i="35"/>
  <c r="H46" i="35"/>
  <c r="H54" i="35"/>
  <c r="H48" i="35"/>
  <c r="H11" i="35"/>
  <c r="V11" i="35" s="1"/>
  <c r="W11" i="35" s="1"/>
  <c r="H15" i="35"/>
  <c r="H19" i="35"/>
  <c r="H23" i="35"/>
  <c r="H27" i="35"/>
  <c r="H31" i="35"/>
  <c r="H35" i="35"/>
  <c r="H39" i="35"/>
  <c r="H43" i="35"/>
  <c r="H47" i="35"/>
  <c r="H51" i="35"/>
  <c r="H55" i="35"/>
  <c r="H12" i="35"/>
  <c r="V12" i="35" s="1"/>
  <c r="W12" i="35" s="1"/>
  <c r="H20" i="35"/>
  <c r="H24" i="35"/>
  <c r="H32" i="35"/>
  <c r="H44" i="35"/>
  <c r="AN97" i="35"/>
  <c r="AN98" i="35"/>
  <c r="AN96" i="35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40" i="41"/>
  <c r="V15" i="35" l="1"/>
  <c r="W15" i="35" s="1"/>
  <c r="T16" i="35"/>
  <c r="U17" i="35" s="1"/>
  <c r="V8" i="35"/>
  <c r="W8" i="35" s="1"/>
  <c r="V7" i="35"/>
  <c r="W7" i="35" s="1"/>
  <c r="K7" i="35"/>
  <c r="T17" i="35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10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H10" i="41"/>
  <c r="B10" i="41"/>
  <c r="B11" i="41" s="1"/>
  <c r="B12" i="41" s="1"/>
  <c r="B13" i="41" s="1"/>
  <c r="B14" i="41" s="1"/>
  <c r="K6" i="41"/>
  <c r="V4" i="41"/>
  <c r="R12" i="41" s="1"/>
  <c r="V16" i="35" l="1"/>
  <c r="W16" i="35" s="1"/>
  <c r="V17" i="35"/>
  <c r="W17" i="35" s="1"/>
  <c r="U18" i="35"/>
  <c r="Y7" i="35"/>
  <c r="Y8" i="35" s="1"/>
  <c r="Y9" i="35" s="1"/>
  <c r="Y10" i="35" s="1"/>
  <c r="Y11" i="35" s="1"/>
  <c r="Y12" i="35" s="1"/>
  <c r="Y13" i="35" s="1"/>
  <c r="Y14" i="35" s="1"/>
  <c r="Y15" i="35" s="1"/>
  <c r="X7" i="35"/>
  <c r="X8" i="35" s="1"/>
  <c r="X9" i="35" s="1"/>
  <c r="X10" i="35" s="1"/>
  <c r="X11" i="35" s="1"/>
  <c r="X12" i="35" s="1"/>
  <c r="X13" i="35" s="1"/>
  <c r="X14" i="35" s="1"/>
  <c r="X15" i="35" s="1"/>
  <c r="X16" i="35" s="1"/>
  <c r="T18" i="35"/>
  <c r="G26" i="41"/>
  <c r="E27" i="41" s="1"/>
  <c r="E14" i="41"/>
  <c r="H11" i="41"/>
  <c r="R11" i="41"/>
  <c r="V11" i="41" s="1"/>
  <c r="G14" i="41"/>
  <c r="E15" i="41" s="1"/>
  <c r="G31" i="41"/>
  <c r="E32" i="41" s="1"/>
  <c r="C10" i="41"/>
  <c r="D10" i="41" s="1"/>
  <c r="G11" i="41"/>
  <c r="G18" i="41"/>
  <c r="G35" i="41"/>
  <c r="E36" i="41" s="1"/>
  <c r="G10" i="41"/>
  <c r="E10" i="41" s="1"/>
  <c r="G22" i="41"/>
  <c r="E23" i="41" s="1"/>
  <c r="G39" i="41"/>
  <c r="B15" i="41"/>
  <c r="R39" i="41"/>
  <c r="S38" i="41"/>
  <c r="R35" i="41"/>
  <c r="S34" i="41"/>
  <c r="R31" i="41"/>
  <c r="S30" i="41"/>
  <c r="R38" i="41"/>
  <c r="S37" i="41"/>
  <c r="R34" i="41"/>
  <c r="S33" i="41"/>
  <c r="R30" i="41"/>
  <c r="S29" i="41"/>
  <c r="S40" i="41"/>
  <c r="R37" i="41"/>
  <c r="S36" i="41"/>
  <c r="R33" i="41"/>
  <c r="S32" i="41"/>
  <c r="R29" i="41"/>
  <c r="S28" i="41"/>
  <c r="R25" i="41"/>
  <c r="S24" i="41"/>
  <c r="R21" i="41"/>
  <c r="S20" i="41"/>
  <c r="R17" i="41"/>
  <c r="S16" i="41"/>
  <c r="R13" i="41"/>
  <c r="V13" i="41" s="1"/>
  <c r="S12" i="41"/>
  <c r="U12" i="41" s="1"/>
  <c r="R40" i="41"/>
  <c r="R36" i="41"/>
  <c r="V37" i="41" s="1"/>
  <c r="R32" i="41"/>
  <c r="R28" i="41"/>
  <c r="S27" i="41"/>
  <c r="R24" i="41"/>
  <c r="S23" i="41"/>
  <c r="R20" i="41"/>
  <c r="S19" i="41"/>
  <c r="R16" i="41"/>
  <c r="S15" i="41"/>
  <c r="V12" i="41"/>
  <c r="S13" i="41"/>
  <c r="U13" i="41" s="1"/>
  <c r="R14" i="41"/>
  <c r="S17" i="41"/>
  <c r="R18" i="41"/>
  <c r="S21" i="41"/>
  <c r="R22" i="41"/>
  <c r="S25" i="41"/>
  <c r="R26" i="41"/>
  <c r="S31" i="41"/>
  <c r="S35" i="41"/>
  <c r="S39" i="41"/>
  <c r="U39" i="41" s="1"/>
  <c r="S14" i="41"/>
  <c r="W15" i="41" s="1"/>
  <c r="S18" i="41"/>
  <c r="S22" i="41"/>
  <c r="U22" i="41" s="1"/>
  <c r="S26" i="41"/>
  <c r="V36" i="41"/>
  <c r="S11" i="41"/>
  <c r="U11" i="41" s="1"/>
  <c r="G38" i="41"/>
  <c r="E39" i="41" s="1"/>
  <c r="G34" i="41"/>
  <c r="E35" i="41" s="1"/>
  <c r="G30" i="41"/>
  <c r="E31" i="41" s="1"/>
  <c r="G37" i="41"/>
  <c r="E38" i="41" s="1"/>
  <c r="G33" i="41"/>
  <c r="E34" i="41" s="1"/>
  <c r="G29" i="41"/>
  <c r="E30" i="41" s="1"/>
  <c r="G36" i="41"/>
  <c r="E37" i="41" s="1"/>
  <c r="G32" i="41"/>
  <c r="E33" i="41" s="1"/>
  <c r="G28" i="41"/>
  <c r="E29" i="41" s="1"/>
  <c r="G24" i="41"/>
  <c r="E25" i="41" s="1"/>
  <c r="G20" i="41"/>
  <c r="G16" i="41"/>
  <c r="E17" i="41" s="1"/>
  <c r="G12" i="41"/>
  <c r="E13" i="41" s="1"/>
  <c r="G27" i="41"/>
  <c r="E28" i="41" s="1"/>
  <c r="G23" i="41"/>
  <c r="E24" i="41" s="1"/>
  <c r="G19" i="41"/>
  <c r="E20" i="41" s="1"/>
  <c r="G15" i="41"/>
  <c r="E16" i="41" s="1"/>
  <c r="G13" i="41"/>
  <c r="R15" i="41"/>
  <c r="V15" i="41" s="1"/>
  <c r="G17" i="41"/>
  <c r="E18" i="41" s="1"/>
  <c r="R19" i="41"/>
  <c r="G21" i="41"/>
  <c r="E21" i="41" s="1"/>
  <c r="R23" i="41"/>
  <c r="G25" i="41"/>
  <c r="E26" i="41" s="1"/>
  <c r="R27" i="41"/>
  <c r="Y16" i="35" l="1"/>
  <c r="Y17" i="35" s="1"/>
  <c r="V18" i="35"/>
  <c r="W18" i="35" s="1"/>
  <c r="U19" i="35"/>
  <c r="X17" i="35"/>
  <c r="T19" i="35"/>
  <c r="U20" i="35" s="1"/>
  <c r="H12" i="41"/>
  <c r="I11" i="41"/>
  <c r="E12" i="41"/>
  <c r="E19" i="41"/>
  <c r="C11" i="41"/>
  <c r="D11" i="41" s="1"/>
  <c r="E11" i="41"/>
  <c r="E22" i="41"/>
  <c r="V27" i="41"/>
  <c r="W11" i="41"/>
  <c r="X11" i="41" s="1"/>
  <c r="Y11" i="41" s="1"/>
  <c r="F10" i="41"/>
  <c r="I10" i="41"/>
  <c r="V23" i="41"/>
  <c r="W31" i="41"/>
  <c r="U26" i="41"/>
  <c r="V20" i="41"/>
  <c r="V17" i="41"/>
  <c r="V25" i="41"/>
  <c r="W25" i="41"/>
  <c r="U36" i="41"/>
  <c r="V24" i="41"/>
  <c r="U25" i="41"/>
  <c r="U17" i="41"/>
  <c r="V21" i="41"/>
  <c r="V29" i="41"/>
  <c r="U32" i="41"/>
  <c r="V32" i="41"/>
  <c r="W35" i="41"/>
  <c r="W14" i="41"/>
  <c r="W23" i="41"/>
  <c r="V33" i="41"/>
  <c r="U28" i="41"/>
  <c r="V31" i="41"/>
  <c r="V39" i="41"/>
  <c r="V28" i="41"/>
  <c r="U18" i="41"/>
  <c r="U21" i="41"/>
  <c r="W20" i="41"/>
  <c r="V19" i="41"/>
  <c r="V34" i="41"/>
  <c r="V40" i="41"/>
  <c r="W27" i="41"/>
  <c r="U40" i="41"/>
  <c r="W21" i="41"/>
  <c r="U16" i="41"/>
  <c r="U24" i="41"/>
  <c r="W28" i="41"/>
  <c r="W36" i="41"/>
  <c r="V30" i="41"/>
  <c r="V38" i="41"/>
  <c r="V35" i="41"/>
  <c r="U14" i="41"/>
  <c r="U31" i="41"/>
  <c r="W22" i="41"/>
  <c r="V16" i="41"/>
  <c r="W12" i="41"/>
  <c r="W16" i="41"/>
  <c r="W24" i="41"/>
  <c r="U29" i="41"/>
  <c r="U33" i="41"/>
  <c r="U37" i="41"/>
  <c r="U30" i="41"/>
  <c r="U34" i="41"/>
  <c r="U38" i="41"/>
  <c r="B16" i="41"/>
  <c r="W19" i="41"/>
  <c r="U35" i="41"/>
  <c r="W18" i="41"/>
  <c r="U20" i="41"/>
  <c r="W32" i="41"/>
  <c r="W40" i="41"/>
  <c r="W17" i="41"/>
  <c r="W13" i="41"/>
  <c r="W26" i="41"/>
  <c r="U15" i="41"/>
  <c r="U19" i="41"/>
  <c r="U23" i="41"/>
  <c r="U27" i="41"/>
  <c r="V14" i="41"/>
  <c r="V18" i="41"/>
  <c r="V22" i="41"/>
  <c r="V26" i="41"/>
  <c r="W39" i="41"/>
  <c r="W29" i="41"/>
  <c r="W33" i="41"/>
  <c r="W37" i="41"/>
  <c r="W30" i="41"/>
  <c r="W34" i="41"/>
  <c r="W38" i="41"/>
  <c r="AL11" i="40"/>
  <c r="AM11" i="40" s="1"/>
  <c r="AM12" i="40" s="1"/>
  <c r="AM13" i="40" s="1"/>
  <c r="AM14" i="40" s="1"/>
  <c r="AM15" i="40" s="1"/>
  <c r="AM16" i="40" s="1"/>
  <c r="AM17" i="40" s="1"/>
  <c r="AM18" i="40" s="1"/>
  <c r="AM19" i="40" s="1"/>
  <c r="AM20" i="40" s="1"/>
  <c r="AM21" i="40" s="1"/>
  <c r="AM22" i="40" s="1"/>
  <c r="AM23" i="40" s="1"/>
  <c r="AM24" i="40" s="1"/>
  <c r="AM25" i="40" s="1"/>
  <c r="AM26" i="40" s="1"/>
  <c r="AM27" i="40" s="1"/>
  <c r="AM28" i="40" s="1"/>
  <c r="AM29" i="40" s="1"/>
  <c r="AM30" i="40" s="1"/>
  <c r="AM31" i="40" s="1"/>
  <c r="AM32" i="40" s="1"/>
  <c r="Y18" i="35" l="1"/>
  <c r="X18" i="35"/>
  <c r="V19" i="35"/>
  <c r="W19" i="35" s="1"/>
  <c r="T20" i="35"/>
  <c r="AM33" i="40"/>
  <c r="AM34" i="40" s="1"/>
  <c r="AM35" i="40" s="1"/>
  <c r="AM36" i="40" s="1"/>
  <c r="AM37" i="40" s="1"/>
  <c r="AM38" i="40" s="1"/>
  <c r="AM39" i="40" s="1"/>
  <c r="AM40" i="40" s="1"/>
  <c r="AM41" i="40" s="1"/>
  <c r="AM42" i="40" s="1"/>
  <c r="AM43" i="40" s="1"/>
  <c r="AM44" i="40" s="1"/>
  <c r="AM45" i="40" s="1"/>
  <c r="AM46" i="40" s="1"/>
  <c r="AM47" i="40" s="1"/>
  <c r="AM48" i="40" s="1"/>
  <c r="AM49" i="40" s="1"/>
  <c r="AM50" i="40" s="1"/>
  <c r="AM51" i="40" s="1"/>
  <c r="AM52" i="40" s="1"/>
  <c r="AM53" i="40" s="1"/>
  <c r="AM54" i="40" s="1"/>
  <c r="AM55" i="40" s="1"/>
  <c r="AM56" i="40" s="1"/>
  <c r="AM57" i="40" s="1"/>
  <c r="AM58" i="40" s="1"/>
  <c r="AM59" i="40" s="1"/>
  <c r="AM60" i="40" s="1"/>
  <c r="AM61" i="40" s="1"/>
  <c r="AM62" i="40" s="1"/>
  <c r="AO32" i="40"/>
  <c r="X12" i="41"/>
  <c r="F11" i="41"/>
  <c r="H13" i="41"/>
  <c r="I12" i="41"/>
  <c r="C12" i="41"/>
  <c r="D12" i="41" s="1"/>
  <c r="F12" i="41" s="1"/>
  <c r="N10" i="41"/>
  <c r="N11" i="41" s="1"/>
  <c r="N12" i="41" s="1"/>
  <c r="M10" i="41"/>
  <c r="M11" i="41" s="1"/>
  <c r="M12" i="41" s="1"/>
  <c r="J10" i="41"/>
  <c r="J11" i="41" s="1"/>
  <c r="J12" i="41" s="1"/>
  <c r="L10" i="41"/>
  <c r="X13" i="41"/>
  <c r="Y12" i="41"/>
  <c r="B17" i="41"/>
  <c r="O29" i="34"/>
  <c r="E51" i="34"/>
  <c r="F51" i="34"/>
  <c r="G51" i="34"/>
  <c r="D51" i="34"/>
  <c r="C51" i="34"/>
  <c r="K30" i="34"/>
  <c r="K31" i="34" s="1"/>
  <c r="V20" i="35" l="1"/>
  <c r="W20" i="35" s="1"/>
  <c r="U21" i="35"/>
  <c r="X19" i="35"/>
  <c r="Y19" i="35"/>
  <c r="T21" i="35"/>
  <c r="U22" i="35" s="1"/>
  <c r="AQ32" i="40"/>
  <c r="AP33" i="40" s="1"/>
  <c r="AN33" i="40"/>
  <c r="AO33" i="40" s="1"/>
  <c r="I13" i="41"/>
  <c r="H14" i="41"/>
  <c r="C13" i="41"/>
  <c r="D13" i="41" s="1"/>
  <c r="F13" i="41" s="1"/>
  <c r="J13" i="41" s="1"/>
  <c r="L11" i="41"/>
  <c r="L12" i="41" s="1"/>
  <c r="B18" i="41"/>
  <c r="X14" i="41"/>
  <c r="Y13" i="41"/>
  <c r="L31" i="34"/>
  <c r="M31" i="34" s="1"/>
  <c r="K32" i="34"/>
  <c r="P4" i="40"/>
  <c r="P5" i="40"/>
  <c r="P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3" i="40"/>
  <c r="X20" i="35" l="1"/>
  <c r="Y20" i="35"/>
  <c r="V21" i="35"/>
  <c r="W21" i="35" s="1"/>
  <c r="T22" i="35"/>
  <c r="U23" i="35" s="1"/>
  <c r="AN34" i="40"/>
  <c r="AN35" i="40" s="1"/>
  <c r="AN36" i="40" s="1"/>
  <c r="AN37" i="40" s="1"/>
  <c r="AN38" i="40" s="1"/>
  <c r="AN39" i="40" s="1"/>
  <c r="AN40" i="40" s="1"/>
  <c r="AN41" i="40" s="1"/>
  <c r="AN42" i="40" s="1"/>
  <c r="AN43" i="40" s="1"/>
  <c r="AN44" i="40" s="1"/>
  <c r="AN45" i="40" s="1"/>
  <c r="AN46" i="40" s="1"/>
  <c r="AN47" i="40" s="1"/>
  <c r="AN48" i="40" s="1"/>
  <c r="AN49" i="40" s="1"/>
  <c r="AN50" i="40" s="1"/>
  <c r="AN51" i="40" s="1"/>
  <c r="AN52" i="40" s="1"/>
  <c r="AN53" i="40" s="1"/>
  <c r="AN54" i="40" s="1"/>
  <c r="AN55" i="40" s="1"/>
  <c r="AN56" i="40" s="1"/>
  <c r="AN57" i="40" s="1"/>
  <c r="AN58" i="40" s="1"/>
  <c r="AN59" i="40" s="1"/>
  <c r="AN60" i="40" s="1"/>
  <c r="AN61" i="40" s="1"/>
  <c r="AN62" i="40" s="1"/>
  <c r="L13" i="41"/>
  <c r="N13" i="41"/>
  <c r="M13" i="41"/>
  <c r="C14" i="41"/>
  <c r="D14" i="41" s="1"/>
  <c r="F14" i="41" s="1"/>
  <c r="J14" i="41" s="1"/>
  <c r="I14" i="41"/>
  <c r="H15" i="41"/>
  <c r="B19" i="41"/>
  <c r="X15" i="41"/>
  <c r="Y14" i="41"/>
  <c r="O31" i="34"/>
  <c r="AP34" i="40"/>
  <c r="L32" i="34"/>
  <c r="M32" i="34" s="1"/>
  <c r="K33" i="34"/>
  <c r="Y21" i="35" l="1"/>
  <c r="X21" i="35"/>
  <c r="V22" i="35"/>
  <c r="W22" i="35" s="1"/>
  <c r="T23" i="35"/>
  <c r="AN63" i="40"/>
  <c r="AN65" i="40" s="1"/>
  <c r="AO34" i="40"/>
  <c r="AO35" i="40" s="1"/>
  <c r="AO36" i="40" s="1"/>
  <c r="AP35" i="40"/>
  <c r="AP36" i="40" s="1"/>
  <c r="AP37" i="40" s="1"/>
  <c r="AP38" i="40" s="1"/>
  <c r="AP39" i="40" s="1"/>
  <c r="AP40" i="40" s="1"/>
  <c r="AP41" i="40" s="1"/>
  <c r="AP42" i="40" s="1"/>
  <c r="AP43" i="40" s="1"/>
  <c r="AP44" i="40" s="1"/>
  <c r="AP45" i="40" s="1"/>
  <c r="AP46" i="40" s="1"/>
  <c r="AP47" i="40" s="1"/>
  <c r="AP48" i="40" s="1"/>
  <c r="AP49" i="40" s="1"/>
  <c r="AP50" i="40" s="1"/>
  <c r="AP51" i="40" s="1"/>
  <c r="AP52" i="40" s="1"/>
  <c r="AP53" i="40" s="1"/>
  <c r="AP54" i="40" s="1"/>
  <c r="AP55" i="40" s="1"/>
  <c r="AP56" i="40" s="1"/>
  <c r="AP57" i="40" s="1"/>
  <c r="AP58" i="40" s="1"/>
  <c r="AP59" i="40" s="1"/>
  <c r="AP60" i="40" s="1"/>
  <c r="AP61" i="40" s="1"/>
  <c r="AP62" i="40" s="1"/>
  <c r="M14" i="41"/>
  <c r="N14" i="41"/>
  <c r="L14" i="41"/>
  <c r="I15" i="41"/>
  <c r="C15" i="41"/>
  <c r="D15" i="41" s="1"/>
  <c r="F15" i="41" s="1"/>
  <c r="H16" i="41"/>
  <c r="X16" i="41"/>
  <c r="Y15" i="41"/>
  <c r="B20" i="41"/>
  <c r="O32" i="34"/>
  <c r="L33" i="34"/>
  <c r="M33" i="34" s="1"/>
  <c r="K34" i="34"/>
  <c r="AN8" i="35"/>
  <c r="AN9" i="35"/>
  <c r="AN10" i="35"/>
  <c r="AN11" i="35"/>
  <c r="AN12" i="35"/>
  <c r="AN13" i="35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43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86" i="35"/>
  <c r="AN87" i="35"/>
  <c r="AN88" i="35"/>
  <c r="AN89" i="35"/>
  <c r="AN90" i="35"/>
  <c r="AN91" i="35"/>
  <c r="AN92" i="35"/>
  <c r="AN93" i="35"/>
  <c r="AN94" i="35"/>
  <c r="AN95" i="35"/>
  <c r="AN7" i="35"/>
  <c r="AO7" i="35" s="1"/>
  <c r="K3" i="34"/>
  <c r="K4" i="34" s="1"/>
  <c r="Y22" i="35" l="1"/>
  <c r="V23" i="35"/>
  <c r="W23" i="35" s="1"/>
  <c r="U24" i="35"/>
  <c r="X22" i="35"/>
  <c r="T24" i="35"/>
  <c r="AP63" i="40"/>
  <c r="AP65" i="40" s="1"/>
  <c r="AO8" i="35"/>
  <c r="AO9" i="35" s="1"/>
  <c r="AO10" i="35" s="1"/>
  <c r="AO11" i="35" s="1"/>
  <c r="AO12" i="35" s="1"/>
  <c r="AO13" i="35" s="1"/>
  <c r="AO14" i="35" s="1"/>
  <c r="AO15" i="35" s="1"/>
  <c r="AO16" i="35" s="1"/>
  <c r="AO17" i="35" s="1"/>
  <c r="I16" i="41"/>
  <c r="C16" i="41"/>
  <c r="D16" i="41" s="1"/>
  <c r="F16" i="41" s="1"/>
  <c r="H17" i="41"/>
  <c r="L15" i="41"/>
  <c r="M15" i="41"/>
  <c r="N15" i="41"/>
  <c r="J15" i="41"/>
  <c r="X17" i="41"/>
  <c r="Y16" i="41"/>
  <c r="B21" i="41"/>
  <c r="O33" i="34"/>
  <c r="L34" i="34"/>
  <c r="M34" i="34" s="1"/>
  <c r="K35" i="34"/>
  <c r="L4" i="34"/>
  <c r="M4" i="34" s="1"/>
  <c r="K5" i="34"/>
  <c r="X23" i="35" l="1"/>
  <c r="Y23" i="35"/>
  <c r="V24" i="35"/>
  <c r="W24" i="35" s="1"/>
  <c r="U25" i="35"/>
  <c r="T25" i="35"/>
  <c r="AO37" i="40"/>
  <c r="I17" i="41"/>
  <c r="C17" i="41"/>
  <c r="D17" i="41" s="1"/>
  <c r="H18" i="41"/>
  <c r="N16" i="41"/>
  <c r="J16" i="41"/>
  <c r="L16" i="41"/>
  <c r="M16" i="41"/>
  <c r="X18" i="41"/>
  <c r="Y17" i="41"/>
  <c r="B22" i="41"/>
  <c r="O34" i="34"/>
  <c r="L35" i="34"/>
  <c r="M35" i="34" s="1"/>
  <c r="K36" i="34"/>
  <c r="O4" i="34"/>
  <c r="AD16" i="35"/>
  <c r="AO18" i="35"/>
  <c r="AD17" i="35"/>
  <c r="L5" i="34"/>
  <c r="M5" i="34" s="1"/>
  <c r="K6" i="34"/>
  <c r="Q57" i="35"/>
  <c r="P57" i="35"/>
  <c r="O57" i="35"/>
  <c r="N57" i="35"/>
  <c r="M57" i="35"/>
  <c r="L57" i="35"/>
  <c r="C57" i="35"/>
  <c r="AM7" i="35"/>
  <c r="AM8" i="35" s="1"/>
  <c r="AM9" i="35" s="1"/>
  <c r="AM10" i="35" s="1"/>
  <c r="AM11" i="35" s="1"/>
  <c r="AM12" i="35" s="1"/>
  <c r="AM13" i="35" s="1"/>
  <c r="AM14" i="35" s="1"/>
  <c r="AM15" i="35" s="1"/>
  <c r="AM16" i="35" s="1"/>
  <c r="AM17" i="35" s="1"/>
  <c r="AM18" i="35" s="1"/>
  <c r="AM19" i="35" s="1"/>
  <c r="AM20" i="35" s="1"/>
  <c r="AM21" i="35" s="1"/>
  <c r="AM22" i="35" s="1"/>
  <c r="AM23" i="35" s="1"/>
  <c r="AM24" i="35" s="1"/>
  <c r="AM25" i="35" s="1"/>
  <c r="AM26" i="35" s="1"/>
  <c r="AM27" i="35" s="1"/>
  <c r="AM28" i="35" s="1"/>
  <c r="AM29" i="35" s="1"/>
  <c r="AM30" i="35" s="1"/>
  <c r="AM31" i="35" s="1"/>
  <c r="AM32" i="35" s="1"/>
  <c r="AM33" i="35" s="1"/>
  <c r="AM34" i="35" s="1"/>
  <c r="AM35" i="35" s="1"/>
  <c r="AM36" i="35" s="1"/>
  <c r="AM37" i="35" s="1"/>
  <c r="AM38" i="35" s="1"/>
  <c r="AM39" i="35" s="1"/>
  <c r="AM40" i="35" s="1"/>
  <c r="AM41" i="35" s="1"/>
  <c r="AM42" i="35" s="1"/>
  <c r="AM43" i="35" s="1"/>
  <c r="AM44" i="35" s="1"/>
  <c r="AM45" i="35" s="1"/>
  <c r="AM46" i="35" s="1"/>
  <c r="AM47" i="35" s="1"/>
  <c r="AM48" i="35" s="1"/>
  <c r="AM49" i="35" s="1"/>
  <c r="AM50" i="35" s="1"/>
  <c r="AM51" i="35" s="1"/>
  <c r="AM52" i="35" s="1"/>
  <c r="AM53" i="35" s="1"/>
  <c r="AM54" i="35" s="1"/>
  <c r="AM55" i="35" s="1"/>
  <c r="AM56" i="35" s="1"/>
  <c r="AM57" i="35" s="1"/>
  <c r="AM58" i="35" s="1"/>
  <c r="AM59" i="35" s="1"/>
  <c r="AM60" i="35" s="1"/>
  <c r="AM61" i="35" s="1"/>
  <c r="AM62" i="35" s="1"/>
  <c r="AM63" i="35" s="1"/>
  <c r="AM64" i="35" s="1"/>
  <c r="AM65" i="35" s="1"/>
  <c r="AM66" i="35" s="1"/>
  <c r="AM67" i="35" s="1"/>
  <c r="AM68" i="35" s="1"/>
  <c r="AM69" i="35" s="1"/>
  <c r="AM70" i="35" s="1"/>
  <c r="AM71" i="35" s="1"/>
  <c r="AM72" i="35" s="1"/>
  <c r="AM73" i="35" s="1"/>
  <c r="AM74" i="35" s="1"/>
  <c r="AM75" i="35" s="1"/>
  <c r="AM76" i="35" s="1"/>
  <c r="AM77" i="35" s="1"/>
  <c r="AM78" i="35" s="1"/>
  <c r="AM79" i="35" s="1"/>
  <c r="AM80" i="35" s="1"/>
  <c r="AM81" i="35" s="1"/>
  <c r="AM82" i="35" s="1"/>
  <c r="AM83" i="35" s="1"/>
  <c r="AM84" i="35" s="1"/>
  <c r="AM85" i="35" s="1"/>
  <c r="AL7" i="35"/>
  <c r="AL8" i="35" s="1"/>
  <c r="AL9" i="35" s="1"/>
  <c r="AL10" i="35" s="1"/>
  <c r="AL11" i="35" s="1"/>
  <c r="AL12" i="35" s="1"/>
  <c r="AL13" i="35" s="1"/>
  <c r="AL14" i="35" s="1"/>
  <c r="AL15" i="35" s="1"/>
  <c r="AL16" i="35" s="1"/>
  <c r="AL17" i="35" s="1"/>
  <c r="AL18" i="35" s="1"/>
  <c r="AL19" i="35" s="1"/>
  <c r="AL20" i="35" s="1"/>
  <c r="AL21" i="35" s="1"/>
  <c r="AL22" i="35" s="1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34" i="35" s="1"/>
  <c r="AL35" i="35" s="1"/>
  <c r="AL36" i="35" s="1"/>
  <c r="AL37" i="35" s="1"/>
  <c r="AL38" i="35" s="1"/>
  <c r="AL39" i="35" s="1"/>
  <c r="AL40" i="35" s="1"/>
  <c r="AL41" i="35" s="1"/>
  <c r="AL42" i="35" s="1"/>
  <c r="AL43" i="35" s="1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55" i="35" s="1"/>
  <c r="AL56" i="35" s="1"/>
  <c r="AL57" i="35" s="1"/>
  <c r="AL58" i="35" s="1"/>
  <c r="AL59" i="35" s="1"/>
  <c r="AL60" i="35" s="1"/>
  <c r="AL61" i="35" s="1"/>
  <c r="AL62" i="35" s="1"/>
  <c r="AL63" i="35" s="1"/>
  <c r="AL64" i="35" s="1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AL76" i="35" s="1"/>
  <c r="AL77" i="35" s="1"/>
  <c r="AL78" i="35" s="1"/>
  <c r="AL79" i="35" s="1"/>
  <c r="AL80" i="35" s="1"/>
  <c r="AL81" i="35" s="1"/>
  <c r="AL82" i="35" s="1"/>
  <c r="AL83" i="35" s="1"/>
  <c r="AL84" i="35" s="1"/>
  <c r="AL85" i="35" s="1"/>
  <c r="AK7" i="35"/>
  <c r="AK8" i="35" s="1"/>
  <c r="AK9" i="35" s="1"/>
  <c r="AK10" i="35" s="1"/>
  <c r="AK11" i="35" s="1"/>
  <c r="AK12" i="35" s="1"/>
  <c r="AK13" i="35" s="1"/>
  <c r="AK14" i="35" s="1"/>
  <c r="AK15" i="35" s="1"/>
  <c r="AK16" i="35" s="1"/>
  <c r="O8" i="35"/>
  <c r="N7" i="35"/>
  <c r="N8" i="35" s="1"/>
  <c r="N9" i="35" s="1"/>
  <c r="N10" i="35" s="1"/>
  <c r="N11" i="35" s="1"/>
  <c r="N12" i="35" s="1"/>
  <c r="N13" i="35" s="1"/>
  <c r="N14" i="35" s="1"/>
  <c r="N15" i="35" s="1"/>
  <c r="N16" i="35" s="1"/>
  <c r="N17" i="35" s="1"/>
  <c r="N18" i="35" s="1"/>
  <c r="N19" i="35" s="1"/>
  <c r="N20" i="35" s="1"/>
  <c r="N21" i="35" s="1"/>
  <c r="N22" i="35" s="1"/>
  <c r="N23" i="35" s="1"/>
  <c r="N24" i="35" s="1"/>
  <c r="N25" i="35" s="1"/>
  <c r="N26" i="35" s="1"/>
  <c r="N27" i="35" s="1"/>
  <c r="N28" i="35" s="1"/>
  <c r="N29" i="35" s="1"/>
  <c r="N30" i="35" s="1"/>
  <c r="N31" i="35" s="1"/>
  <c r="N32" i="35" s="1"/>
  <c r="N33" i="35" s="1"/>
  <c r="N34" i="35" s="1"/>
  <c r="N35" i="35" s="1"/>
  <c r="N36" i="35" s="1"/>
  <c r="N37" i="35" s="1"/>
  <c r="N38" i="35" s="1"/>
  <c r="N39" i="35" s="1"/>
  <c r="N40" i="35" s="1"/>
  <c r="N41" i="35" s="1"/>
  <c r="N42" i="35" s="1"/>
  <c r="N43" i="35" s="1"/>
  <c r="N44" i="35" s="1"/>
  <c r="N45" i="35" s="1"/>
  <c r="N46" i="35" s="1"/>
  <c r="N47" i="35" s="1"/>
  <c r="N48" i="35" s="1"/>
  <c r="N49" i="35" s="1"/>
  <c r="N50" i="35" s="1"/>
  <c r="N51" i="35" s="1"/>
  <c r="N52" i="35" s="1"/>
  <c r="N53" i="35" s="1"/>
  <c r="N54" i="35" s="1"/>
  <c r="N55" i="35" s="1"/>
  <c r="N56" i="35" s="1"/>
  <c r="M8" i="35"/>
  <c r="M9" i="35" s="1"/>
  <c r="M10" i="35" s="1"/>
  <c r="M11" i="35" s="1"/>
  <c r="M12" i="35" s="1"/>
  <c r="M13" i="35" s="1"/>
  <c r="M14" i="35" s="1"/>
  <c r="M15" i="35" s="1"/>
  <c r="M16" i="35" s="1"/>
  <c r="M17" i="35" s="1"/>
  <c r="M18" i="35" s="1"/>
  <c r="M19" i="35" s="1"/>
  <c r="M20" i="35" s="1"/>
  <c r="M21" i="35" s="1"/>
  <c r="M22" i="35" s="1"/>
  <c r="M23" i="35" s="1"/>
  <c r="M24" i="35" s="1"/>
  <c r="M25" i="35" s="1"/>
  <c r="M26" i="35" s="1"/>
  <c r="M27" i="35" s="1"/>
  <c r="M28" i="35" s="1"/>
  <c r="M29" i="35" s="1"/>
  <c r="M30" i="35" s="1"/>
  <c r="M31" i="35" s="1"/>
  <c r="M32" i="35" s="1"/>
  <c r="M33" i="35" s="1"/>
  <c r="M34" i="35" s="1"/>
  <c r="M35" i="35" s="1"/>
  <c r="M36" i="35" s="1"/>
  <c r="M37" i="35" s="1"/>
  <c r="M38" i="35" s="1"/>
  <c r="M39" i="35" s="1"/>
  <c r="M40" i="35" s="1"/>
  <c r="M41" i="35" s="1"/>
  <c r="M42" i="35" s="1"/>
  <c r="M43" i="35" s="1"/>
  <c r="M44" i="35" s="1"/>
  <c r="M45" i="35" s="1"/>
  <c r="M46" i="35" s="1"/>
  <c r="M47" i="35" s="1"/>
  <c r="M48" i="35" s="1"/>
  <c r="M49" i="35" s="1"/>
  <c r="M50" i="35" s="1"/>
  <c r="M51" i="35" s="1"/>
  <c r="M52" i="35" s="1"/>
  <c r="M53" i="35" s="1"/>
  <c r="M54" i="35" s="1"/>
  <c r="M55" i="35" s="1"/>
  <c r="M56" i="35" s="1"/>
  <c r="L8" i="35"/>
  <c r="L9" i="35" s="1"/>
  <c r="L10" i="35" s="1"/>
  <c r="L11" i="35" s="1"/>
  <c r="L12" i="35" s="1"/>
  <c r="L13" i="35" s="1"/>
  <c r="L14" i="35" s="1"/>
  <c r="L15" i="35" s="1"/>
  <c r="L16" i="35" s="1"/>
  <c r="L17" i="35" s="1"/>
  <c r="L18" i="35" s="1"/>
  <c r="L19" i="35" s="1"/>
  <c r="L20" i="35" s="1"/>
  <c r="L21" i="35" s="1"/>
  <c r="L22" i="35" s="1"/>
  <c r="L23" i="35" s="1"/>
  <c r="L24" i="35" s="1"/>
  <c r="L25" i="35" s="1"/>
  <c r="L26" i="35" s="1"/>
  <c r="L27" i="35" s="1"/>
  <c r="L28" i="35" s="1"/>
  <c r="L29" i="35" s="1"/>
  <c r="L30" i="35" s="1"/>
  <c r="L31" i="35" s="1"/>
  <c r="L32" i="35" s="1"/>
  <c r="L33" i="35" s="1"/>
  <c r="L34" i="35" s="1"/>
  <c r="L35" i="35" s="1"/>
  <c r="L36" i="35" s="1"/>
  <c r="L37" i="35" s="1"/>
  <c r="L38" i="35" s="1"/>
  <c r="L39" i="35" s="1"/>
  <c r="L40" i="35" s="1"/>
  <c r="L41" i="35" s="1"/>
  <c r="L42" i="35" s="1"/>
  <c r="L43" i="35" s="1"/>
  <c r="L44" i="35" s="1"/>
  <c r="L45" i="35" s="1"/>
  <c r="L46" i="35" s="1"/>
  <c r="L47" i="35" s="1"/>
  <c r="L48" i="35" s="1"/>
  <c r="L49" i="35" s="1"/>
  <c r="L50" i="35" s="1"/>
  <c r="L51" i="35" s="1"/>
  <c r="L52" i="35" s="1"/>
  <c r="L53" i="35" s="1"/>
  <c r="L54" i="35" s="1"/>
  <c r="L55" i="35" s="1"/>
  <c r="L56" i="35" s="1"/>
  <c r="A9" i="35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Y24" i="35" l="1"/>
  <c r="X24" i="35"/>
  <c r="V25" i="35"/>
  <c r="W25" i="35" s="1"/>
  <c r="U26" i="35"/>
  <c r="O9" i="35"/>
  <c r="T26" i="35"/>
  <c r="K8" i="35"/>
  <c r="I7" i="35"/>
  <c r="I18" i="41"/>
  <c r="H19" i="41"/>
  <c r="C18" i="41"/>
  <c r="D18" i="41" s="1"/>
  <c r="F18" i="41" s="1"/>
  <c r="M17" i="41"/>
  <c r="F17" i="41"/>
  <c r="B23" i="41"/>
  <c r="X19" i="41"/>
  <c r="Y18" i="41"/>
  <c r="O35" i="34"/>
  <c r="L36" i="34"/>
  <c r="M36" i="34" s="1"/>
  <c r="K37" i="34"/>
  <c r="O5" i="34"/>
  <c r="AO19" i="35"/>
  <c r="AD18" i="35"/>
  <c r="AK17" i="35"/>
  <c r="AB16" i="35"/>
  <c r="L6" i="34"/>
  <c r="M6" i="34" s="1"/>
  <c r="K7" i="34"/>
  <c r="AL86" i="35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97" i="35" s="1"/>
  <c r="AL98" i="35" s="1"/>
  <c r="AM86" i="35"/>
  <c r="AM87" i="35" s="1"/>
  <c r="AM88" i="35" s="1"/>
  <c r="AM89" i="35" s="1"/>
  <c r="AM90" i="35" s="1"/>
  <c r="AM91" i="35" s="1"/>
  <c r="AM92" i="35" s="1"/>
  <c r="AM93" i="35" s="1"/>
  <c r="AM94" i="35" s="1"/>
  <c r="AM95" i="35" s="1"/>
  <c r="AM96" i="35" s="1"/>
  <c r="AM97" i="35" s="1"/>
  <c r="AM98" i="35" s="1"/>
  <c r="AB27" i="34"/>
  <c r="AB28" i="34" s="1"/>
  <c r="AB29" i="34" s="1"/>
  <c r="AB30" i="34" s="1"/>
  <c r="AB31" i="34" s="1"/>
  <c r="AB32" i="34" s="1"/>
  <c r="AB33" i="34" s="1"/>
  <c r="AB34" i="34" s="1"/>
  <c r="AB35" i="34" s="1"/>
  <c r="AB36" i="34" s="1"/>
  <c r="AB37" i="34" s="1"/>
  <c r="AB38" i="34" s="1"/>
  <c r="AB39" i="34" s="1"/>
  <c r="AB40" i="34" s="1"/>
  <c r="AB41" i="34" s="1"/>
  <c r="AB42" i="34" s="1"/>
  <c r="AB43" i="34" s="1"/>
  <c r="AB44" i="34" s="1"/>
  <c r="AB45" i="34" s="1"/>
  <c r="AB46" i="34" s="1"/>
  <c r="X25" i="35" l="1"/>
  <c r="Y25" i="35"/>
  <c r="V26" i="35"/>
  <c r="W26" i="35" s="1"/>
  <c r="U27" i="35"/>
  <c r="O10" i="35"/>
  <c r="T27" i="35"/>
  <c r="AO38" i="40"/>
  <c r="K9" i="35"/>
  <c r="K10" i="35" s="1"/>
  <c r="K11" i="35" s="1"/>
  <c r="K12" i="35" s="1"/>
  <c r="K13" i="35" s="1"/>
  <c r="K14" i="35" s="1"/>
  <c r="K15" i="35" s="1"/>
  <c r="K16" i="35" s="1"/>
  <c r="K17" i="35" s="1"/>
  <c r="K18" i="35" s="1"/>
  <c r="K19" i="35" s="1"/>
  <c r="K20" i="35" s="1"/>
  <c r="K21" i="35" s="1"/>
  <c r="K22" i="35" s="1"/>
  <c r="K23" i="35" s="1"/>
  <c r="K24" i="35" s="1"/>
  <c r="K25" i="35" s="1"/>
  <c r="K26" i="35" s="1"/>
  <c r="I8" i="35"/>
  <c r="I9" i="35" s="1"/>
  <c r="M18" i="41"/>
  <c r="I19" i="41"/>
  <c r="C19" i="41"/>
  <c r="D19" i="41" s="1"/>
  <c r="F19" i="41" s="1"/>
  <c r="H20" i="41"/>
  <c r="L17" i="41"/>
  <c r="L18" i="41" s="1"/>
  <c r="N17" i="41"/>
  <c r="N18" i="41" s="1"/>
  <c r="J17" i="41"/>
  <c r="J18" i="41" s="1"/>
  <c r="X20" i="41"/>
  <c r="Y19" i="41"/>
  <c r="B24" i="41"/>
  <c r="O36" i="34"/>
  <c r="L37" i="34"/>
  <c r="M37" i="34" s="1"/>
  <c r="K38" i="34"/>
  <c r="O6" i="34"/>
  <c r="AO20" i="35"/>
  <c r="AD19" i="35"/>
  <c r="AK18" i="35"/>
  <c r="AB17" i="35"/>
  <c r="L7" i="34"/>
  <c r="M7" i="34" s="1"/>
  <c r="K8" i="34"/>
  <c r="AB4" i="34"/>
  <c r="AB5" i="34" s="1"/>
  <c r="AB6" i="34" s="1"/>
  <c r="AB7" i="34" s="1"/>
  <c r="AB8" i="34" s="1"/>
  <c r="AB9" i="34" s="1"/>
  <c r="AB10" i="34" s="1"/>
  <c r="AB11" i="34" s="1"/>
  <c r="AB12" i="34" s="1"/>
  <c r="AB13" i="34" s="1"/>
  <c r="AB14" i="34" s="1"/>
  <c r="AB15" i="34" s="1"/>
  <c r="AB16" i="34" s="1"/>
  <c r="AB17" i="34" s="1"/>
  <c r="AB18" i="34" s="1"/>
  <c r="AB19" i="34" s="1"/>
  <c r="AB20" i="34" s="1"/>
  <c r="X26" i="35" l="1"/>
  <c r="Y26" i="35"/>
  <c r="V27" i="35"/>
  <c r="W27" i="35" s="1"/>
  <c r="U28" i="35"/>
  <c r="O11" i="35"/>
  <c r="T28" i="35"/>
  <c r="K27" i="35"/>
  <c r="K28" i="35" s="1"/>
  <c r="K29" i="35" s="1"/>
  <c r="K30" i="35" s="1"/>
  <c r="K31" i="35" s="1"/>
  <c r="K32" i="35" s="1"/>
  <c r="K33" i="35" s="1"/>
  <c r="K34" i="35" s="1"/>
  <c r="K35" i="35" s="1"/>
  <c r="K36" i="35" s="1"/>
  <c r="K37" i="35" s="1"/>
  <c r="K38" i="35" s="1"/>
  <c r="K39" i="35" s="1"/>
  <c r="K40" i="35" s="1"/>
  <c r="K41" i="35" s="1"/>
  <c r="K42" i="35" s="1"/>
  <c r="K43" i="35" s="1"/>
  <c r="K44" i="35" s="1"/>
  <c r="K45" i="35" s="1"/>
  <c r="K46" i="35" s="1"/>
  <c r="K47" i="35" s="1"/>
  <c r="K48" i="35" s="1"/>
  <c r="K49" i="35" s="1"/>
  <c r="K50" i="35" s="1"/>
  <c r="K51" i="35" s="1"/>
  <c r="K52" i="35" s="1"/>
  <c r="K53" i="35" s="1"/>
  <c r="K54" i="35" s="1"/>
  <c r="K55" i="35" s="1"/>
  <c r="K56" i="35" s="1"/>
  <c r="AO39" i="40"/>
  <c r="I10" i="35"/>
  <c r="I20" i="41"/>
  <c r="C20" i="41"/>
  <c r="D20" i="41" s="1"/>
  <c r="H21" i="41"/>
  <c r="M19" i="41"/>
  <c r="J19" i="41"/>
  <c r="N19" i="41"/>
  <c r="L19" i="41"/>
  <c r="X21" i="41"/>
  <c r="Y20" i="41"/>
  <c r="B25" i="41"/>
  <c r="O37" i="34"/>
  <c r="L38" i="34"/>
  <c r="M38" i="34" s="1"/>
  <c r="K39" i="34"/>
  <c r="O7" i="34"/>
  <c r="AO21" i="35"/>
  <c r="AD20" i="35"/>
  <c r="AK19" i="35"/>
  <c r="AB18" i="35"/>
  <c r="L8" i="34"/>
  <c r="M8" i="34" s="1"/>
  <c r="K9" i="34"/>
  <c r="AB21" i="34"/>
  <c r="AB22" i="34" s="1"/>
  <c r="AB23" i="34" s="1"/>
  <c r="AB24" i="34" s="1"/>
  <c r="AB25" i="34" s="1"/>
  <c r="AB49" i="34"/>
  <c r="AB50" i="34"/>
  <c r="W39" i="34"/>
  <c r="X39" i="34"/>
  <c r="Y39" i="34" s="1"/>
  <c r="W40" i="34"/>
  <c r="X40" i="34"/>
  <c r="W41" i="34"/>
  <c r="X41" i="34"/>
  <c r="Y41" i="34" s="1"/>
  <c r="W42" i="34"/>
  <c r="X42" i="34"/>
  <c r="W43" i="34"/>
  <c r="X43" i="34"/>
  <c r="Y43" i="34" s="1"/>
  <c r="W44" i="34"/>
  <c r="X44" i="34"/>
  <c r="W45" i="34"/>
  <c r="X45" i="34"/>
  <c r="Y45" i="34" s="1"/>
  <c r="W46" i="34"/>
  <c r="X46" i="34"/>
  <c r="W10" i="34"/>
  <c r="X10" i="34"/>
  <c r="Y10" i="34" s="1"/>
  <c r="W11" i="34"/>
  <c r="X11" i="34"/>
  <c r="W12" i="34"/>
  <c r="X12" i="34"/>
  <c r="Y12" i="34" s="1"/>
  <c r="W13" i="34"/>
  <c r="X13" i="34"/>
  <c r="W14" i="34"/>
  <c r="X14" i="34"/>
  <c r="Y14" i="34" s="1"/>
  <c r="W15" i="34"/>
  <c r="X15" i="34"/>
  <c r="W16" i="34"/>
  <c r="X16" i="34"/>
  <c r="Y16" i="34" s="1"/>
  <c r="W17" i="34"/>
  <c r="X17" i="34"/>
  <c r="W18" i="34"/>
  <c r="X18" i="34"/>
  <c r="Y18" i="34" s="1"/>
  <c r="W19" i="34"/>
  <c r="X19" i="34"/>
  <c r="W20" i="34"/>
  <c r="X20" i="34"/>
  <c r="Y20" i="34" s="1"/>
  <c r="W21" i="34"/>
  <c r="X21" i="34"/>
  <c r="W22" i="34"/>
  <c r="X22" i="34"/>
  <c r="Y22" i="34" s="1"/>
  <c r="W23" i="34"/>
  <c r="X23" i="34"/>
  <c r="W24" i="34"/>
  <c r="X24" i="34"/>
  <c r="Y24" i="34" s="1"/>
  <c r="W25" i="34"/>
  <c r="X25" i="34"/>
  <c r="W26" i="34"/>
  <c r="X26" i="34"/>
  <c r="Y26" i="34" s="1"/>
  <c r="W27" i="34"/>
  <c r="Z27" i="34" s="1"/>
  <c r="Z28" i="34" s="1"/>
  <c r="X27" i="34"/>
  <c r="W28" i="34"/>
  <c r="X28" i="34"/>
  <c r="Y28" i="34" s="1"/>
  <c r="W29" i="34"/>
  <c r="X29" i="34"/>
  <c r="W30" i="34"/>
  <c r="X30" i="34"/>
  <c r="Y30" i="34" s="1"/>
  <c r="W31" i="34"/>
  <c r="X31" i="34"/>
  <c r="W32" i="34"/>
  <c r="X32" i="34"/>
  <c r="Y32" i="34" s="1"/>
  <c r="W33" i="34"/>
  <c r="X33" i="34"/>
  <c r="W34" i="34"/>
  <c r="X34" i="34"/>
  <c r="Y34" i="34" s="1"/>
  <c r="W35" i="34"/>
  <c r="X35" i="34"/>
  <c r="W36" i="34"/>
  <c r="X36" i="34"/>
  <c r="Y36" i="34" s="1"/>
  <c r="W37" i="34"/>
  <c r="X37" i="34"/>
  <c r="W38" i="34"/>
  <c r="X38" i="34"/>
  <c r="Y38" i="34" s="1"/>
  <c r="W5" i="34"/>
  <c r="X5" i="34"/>
  <c r="W6" i="34"/>
  <c r="X6" i="34"/>
  <c r="Y6" i="34" s="1"/>
  <c r="W7" i="34"/>
  <c r="X7" i="34"/>
  <c r="W8" i="34"/>
  <c r="X8" i="34"/>
  <c r="Y8" i="34" s="1"/>
  <c r="W9" i="34"/>
  <c r="X9" i="34"/>
  <c r="X4" i="34"/>
  <c r="W4" i="34"/>
  <c r="Z4" i="34" s="1"/>
  <c r="Z5" i="34" s="1"/>
  <c r="Z6" i="34" s="1"/>
  <c r="Z7" i="34" s="1"/>
  <c r="Z8" i="34" s="1"/>
  <c r="Z9" i="34" s="1"/>
  <c r="Z10" i="34" s="1"/>
  <c r="Z11" i="34" s="1"/>
  <c r="Z12" i="34" s="1"/>
  <c r="Z13" i="34" s="1"/>
  <c r="Z14" i="34" s="1"/>
  <c r="Z15" i="34" s="1"/>
  <c r="Z16" i="34" s="1"/>
  <c r="Z17" i="34" s="1"/>
  <c r="Z18" i="34" s="1"/>
  <c r="Z19" i="34" s="1"/>
  <c r="Z20" i="34" s="1"/>
  <c r="X27" i="35" l="1"/>
  <c r="Y27" i="35"/>
  <c r="V28" i="35"/>
  <c r="W28" i="35" s="1"/>
  <c r="U29" i="35"/>
  <c r="O12" i="35"/>
  <c r="T29" i="35"/>
  <c r="AO40" i="40"/>
  <c r="I11" i="35"/>
  <c r="I21" i="41"/>
  <c r="H22" i="41"/>
  <c r="C21" i="41"/>
  <c r="D21" i="41" s="1"/>
  <c r="F20" i="41"/>
  <c r="J20" i="41" s="1"/>
  <c r="B26" i="41"/>
  <c r="X22" i="41"/>
  <c r="Y21" i="41"/>
  <c r="O38" i="34"/>
  <c r="L39" i="34"/>
  <c r="M39" i="34" s="1"/>
  <c r="K40" i="34"/>
  <c r="O8" i="34"/>
  <c r="AO22" i="35"/>
  <c r="AD21" i="35"/>
  <c r="AK20" i="35"/>
  <c r="AB19" i="35"/>
  <c r="Y9" i="34"/>
  <c r="Y7" i="34"/>
  <c r="Y5" i="34"/>
  <c r="Y37" i="34"/>
  <c r="Y35" i="34"/>
  <c r="Y33" i="34"/>
  <c r="Y31" i="34"/>
  <c r="Y29" i="34"/>
  <c r="Y27" i="34"/>
  <c r="Y25" i="34"/>
  <c r="Y23" i="34"/>
  <c r="Y21" i="34"/>
  <c r="Y19" i="34"/>
  <c r="Y17" i="34"/>
  <c r="Y15" i="34"/>
  <c r="Y13" i="34"/>
  <c r="Y11" i="34"/>
  <c r="Y46" i="34"/>
  <c r="Y44" i="34"/>
  <c r="Y42" i="34"/>
  <c r="Y40" i="34"/>
  <c r="L9" i="34"/>
  <c r="M9" i="34" s="1"/>
  <c r="K10" i="34"/>
  <c r="Z29" i="34"/>
  <c r="Z30" i="34" s="1"/>
  <c r="Z31" i="34" s="1"/>
  <c r="Z32" i="34" s="1"/>
  <c r="Z33" i="34" s="1"/>
  <c r="Z34" i="34" s="1"/>
  <c r="Z35" i="34" s="1"/>
  <c r="Z36" i="34" s="1"/>
  <c r="Z37" i="34" s="1"/>
  <c r="Z38" i="34" s="1"/>
  <c r="Z39" i="34" s="1"/>
  <c r="Z40" i="34" s="1"/>
  <c r="Z41" i="34" s="1"/>
  <c r="Z42" i="34" s="1"/>
  <c r="Z43" i="34" s="1"/>
  <c r="Z44" i="34" s="1"/>
  <c r="Z45" i="34" s="1"/>
  <c r="Z46" i="34" s="1"/>
  <c r="Z49" i="34" s="1"/>
  <c r="Z21" i="34"/>
  <c r="Z22" i="34" s="1"/>
  <c r="Z23" i="34" s="1"/>
  <c r="Z24" i="34" s="1"/>
  <c r="Z25" i="34" s="1"/>
  <c r="AA4" i="34"/>
  <c r="AA5" i="34" s="1"/>
  <c r="AA6" i="34" s="1"/>
  <c r="AA7" i="34" s="1"/>
  <c r="AA8" i="34" s="1"/>
  <c r="AA9" i="34" s="1"/>
  <c r="AA10" i="34" s="1"/>
  <c r="AA11" i="34" s="1"/>
  <c r="AA12" i="34" s="1"/>
  <c r="AA13" i="34" s="1"/>
  <c r="AA14" i="34" s="1"/>
  <c r="AA15" i="34" s="1"/>
  <c r="AA16" i="34" s="1"/>
  <c r="AA17" i="34" s="1"/>
  <c r="AA18" i="34" s="1"/>
  <c r="AA19" i="34" s="1"/>
  <c r="AA20" i="34" s="1"/>
  <c r="AA21" i="34" s="1"/>
  <c r="AA22" i="34" s="1"/>
  <c r="AA23" i="34" s="1"/>
  <c r="AA24" i="34" s="1"/>
  <c r="AA25" i="34" s="1"/>
  <c r="AA27" i="34" s="1"/>
  <c r="AA28" i="34" s="1"/>
  <c r="AA29" i="34" s="1"/>
  <c r="AA30" i="34" s="1"/>
  <c r="AA31" i="34" s="1"/>
  <c r="AA32" i="34" s="1"/>
  <c r="AA33" i="34" s="1"/>
  <c r="AA34" i="34" s="1"/>
  <c r="AA35" i="34" s="1"/>
  <c r="AA36" i="34" s="1"/>
  <c r="AA37" i="34" s="1"/>
  <c r="AA38" i="34" s="1"/>
  <c r="AA39" i="34" s="1"/>
  <c r="AA40" i="34" s="1"/>
  <c r="AA41" i="34" s="1"/>
  <c r="AA42" i="34" s="1"/>
  <c r="AA43" i="34" s="1"/>
  <c r="AA44" i="34" s="1"/>
  <c r="AA45" i="34" s="1"/>
  <c r="AA46" i="34" s="1"/>
  <c r="Y4" i="34"/>
  <c r="Y28" i="35" l="1"/>
  <c r="X28" i="35"/>
  <c r="V29" i="35"/>
  <c r="W29" i="35" s="1"/>
  <c r="U30" i="35"/>
  <c r="O13" i="35"/>
  <c r="T30" i="35"/>
  <c r="AO41" i="40"/>
  <c r="I12" i="35"/>
  <c r="F21" i="41"/>
  <c r="I22" i="41"/>
  <c r="H23" i="41"/>
  <c r="C22" i="41"/>
  <c r="D22" i="41" s="1"/>
  <c r="N20" i="41"/>
  <c r="M20" i="41"/>
  <c r="L20" i="41"/>
  <c r="X23" i="41"/>
  <c r="Y22" i="41"/>
  <c r="B27" i="41"/>
  <c r="O39" i="34"/>
  <c r="L40" i="34"/>
  <c r="M40" i="34" s="1"/>
  <c r="K41" i="34"/>
  <c r="O9" i="34"/>
  <c r="AO23" i="35"/>
  <c r="AD22" i="35"/>
  <c r="AK21" i="35"/>
  <c r="AB20" i="35"/>
  <c r="L10" i="34"/>
  <c r="M10" i="34" s="1"/>
  <c r="K11" i="34"/>
  <c r="Z50" i="34"/>
  <c r="AA49" i="34"/>
  <c r="AA50" i="34"/>
  <c r="AN4" i="31"/>
  <c r="AQ4" i="31"/>
  <c r="AI6" i="31"/>
  <c r="E4" i="31"/>
  <c r="E5" i="31" s="1"/>
  <c r="E6" i="31" s="1"/>
  <c r="E7" i="31" s="1"/>
  <c r="E8" i="31" s="1"/>
  <c r="E9" i="31" s="1"/>
  <c r="E10" i="31" s="1"/>
  <c r="E11" i="31" s="1"/>
  <c r="E12" i="31" s="1"/>
  <c r="E13" i="31" s="1"/>
  <c r="E14" i="31" s="1"/>
  <c r="X29" i="35" l="1"/>
  <c r="Y29" i="35"/>
  <c r="V30" i="35"/>
  <c r="W30" i="35" s="1"/>
  <c r="U31" i="35"/>
  <c r="O14" i="35"/>
  <c r="T31" i="35"/>
  <c r="E15" i="31"/>
  <c r="F14" i="31"/>
  <c r="AO42" i="40"/>
  <c r="I13" i="35"/>
  <c r="N21" i="41"/>
  <c r="L21" i="41"/>
  <c r="M21" i="41"/>
  <c r="I23" i="41"/>
  <c r="H24" i="41"/>
  <c r="C23" i="41"/>
  <c r="D23" i="41" s="1"/>
  <c r="F22" i="41"/>
  <c r="J21" i="41"/>
  <c r="X24" i="41"/>
  <c r="Y23" i="41"/>
  <c r="B28" i="41"/>
  <c r="O40" i="34"/>
  <c r="L41" i="34"/>
  <c r="M41" i="34" s="1"/>
  <c r="K42" i="34"/>
  <c r="O10" i="34"/>
  <c r="AO24" i="35"/>
  <c r="AD23" i="35"/>
  <c r="AK22" i="35"/>
  <c r="AB21" i="35"/>
  <c r="L11" i="34"/>
  <c r="M11" i="34" s="1"/>
  <c r="K12" i="34"/>
  <c r="AJ5" i="31"/>
  <c r="AK5" i="31" s="1"/>
  <c r="AJ6" i="31"/>
  <c r="AO6" i="31" s="1"/>
  <c r="F13" i="31"/>
  <c r="AI7" i="31"/>
  <c r="P4" i="31"/>
  <c r="P5" i="31" s="1"/>
  <c r="P6" i="31" s="1"/>
  <c r="P7" i="31" s="1"/>
  <c r="P8" i="31" s="1"/>
  <c r="P9" i="31" s="1"/>
  <c r="P10" i="31" s="1"/>
  <c r="P11" i="31" s="1"/>
  <c r="P12" i="31" s="1"/>
  <c r="P13" i="31" s="1"/>
  <c r="P14" i="31" s="1"/>
  <c r="Y30" i="35" l="1"/>
  <c r="X30" i="35"/>
  <c r="V31" i="35"/>
  <c r="W31" i="35" s="1"/>
  <c r="U32" i="35"/>
  <c r="O15" i="35"/>
  <c r="T32" i="35"/>
  <c r="P15" i="31"/>
  <c r="Q14" i="31"/>
  <c r="E16" i="31"/>
  <c r="F15" i="31"/>
  <c r="AO43" i="40"/>
  <c r="I14" i="35"/>
  <c r="L22" i="41"/>
  <c r="N22" i="41"/>
  <c r="M22" i="41"/>
  <c r="J22" i="41"/>
  <c r="F23" i="41"/>
  <c r="I24" i="41"/>
  <c r="H25" i="41"/>
  <c r="C24" i="41"/>
  <c r="D24" i="41" s="1"/>
  <c r="B29" i="41"/>
  <c r="X25" i="41"/>
  <c r="Y24" i="41"/>
  <c r="O41" i="34"/>
  <c r="L42" i="34"/>
  <c r="M42" i="34" s="1"/>
  <c r="K43" i="34"/>
  <c r="O11" i="34"/>
  <c r="AO25" i="35"/>
  <c r="AD24" i="35"/>
  <c r="AK23" i="35"/>
  <c r="AB22" i="35"/>
  <c r="L12" i="34"/>
  <c r="M12" i="34" s="1"/>
  <c r="K13" i="34"/>
  <c r="AL5" i="31"/>
  <c r="AL6" i="31" s="1"/>
  <c r="AO5" i="31"/>
  <c r="AP5" i="31" s="1"/>
  <c r="AP6" i="31" s="1"/>
  <c r="AK6" i="31"/>
  <c r="AI8" i="31"/>
  <c r="AJ7" i="31"/>
  <c r="AO7" i="31" s="1"/>
  <c r="Q13" i="31"/>
  <c r="X31" i="35" l="1"/>
  <c r="Y31" i="35"/>
  <c r="V32" i="35"/>
  <c r="W32" i="35" s="1"/>
  <c r="U33" i="35"/>
  <c r="O16" i="35"/>
  <c r="T33" i="35"/>
  <c r="E17" i="31"/>
  <c r="F16" i="31"/>
  <c r="P16" i="31"/>
  <c r="Q15" i="31"/>
  <c r="AO44" i="40"/>
  <c r="I15" i="35"/>
  <c r="I25" i="41"/>
  <c r="H26" i="41"/>
  <c r="C25" i="41"/>
  <c r="D25" i="41" s="1"/>
  <c r="L23" i="41"/>
  <c r="M23" i="41"/>
  <c r="N23" i="41"/>
  <c r="F24" i="41"/>
  <c r="J23" i="41"/>
  <c r="X26" i="41"/>
  <c r="Y25" i="41"/>
  <c r="B30" i="41"/>
  <c r="O42" i="34"/>
  <c r="L43" i="34"/>
  <c r="M43" i="34" s="1"/>
  <c r="K44" i="34"/>
  <c r="O12" i="34"/>
  <c r="AO26" i="35"/>
  <c r="AD25" i="35"/>
  <c r="AK24" i="35"/>
  <c r="AB23" i="35"/>
  <c r="L13" i="34"/>
  <c r="M13" i="34" s="1"/>
  <c r="K14" i="34"/>
  <c r="AQ5" i="31"/>
  <c r="AQ6" i="31" s="1"/>
  <c r="AQ7" i="31" s="1"/>
  <c r="AL7" i="31"/>
  <c r="AI9" i="31"/>
  <c r="AJ8" i="31"/>
  <c r="AO8" i="31" s="1"/>
  <c r="AK7" i="31"/>
  <c r="X32" i="35" l="1"/>
  <c r="Y32" i="35"/>
  <c r="V33" i="35"/>
  <c r="W33" i="35" s="1"/>
  <c r="U34" i="35"/>
  <c r="O17" i="35"/>
  <c r="T34" i="35"/>
  <c r="P17" i="31"/>
  <c r="Q16" i="31"/>
  <c r="E18" i="31"/>
  <c r="F17" i="31"/>
  <c r="AO45" i="40"/>
  <c r="I16" i="35"/>
  <c r="N24" i="41"/>
  <c r="L24" i="41"/>
  <c r="M24" i="41"/>
  <c r="J24" i="41"/>
  <c r="F25" i="41"/>
  <c r="I26" i="41"/>
  <c r="C26" i="41"/>
  <c r="D26" i="41" s="1"/>
  <c r="H27" i="41"/>
  <c r="X27" i="41"/>
  <c r="Y26" i="41"/>
  <c r="B31" i="41"/>
  <c r="O43" i="34"/>
  <c r="L44" i="34"/>
  <c r="M44" i="34" s="1"/>
  <c r="K45" i="34"/>
  <c r="O13" i="34"/>
  <c r="AO27" i="35"/>
  <c r="AE26" i="35"/>
  <c r="AD26" i="35"/>
  <c r="AK25" i="35"/>
  <c r="AB24" i="35"/>
  <c r="L14" i="34"/>
  <c r="M14" i="34" s="1"/>
  <c r="K15" i="34"/>
  <c r="AL8" i="31"/>
  <c r="AQ8" i="31"/>
  <c r="AP7" i="31"/>
  <c r="AK8" i="31"/>
  <c r="AI10" i="31"/>
  <c r="AJ9" i="31"/>
  <c r="AO9" i="31" s="1"/>
  <c r="X33" i="35" l="1"/>
  <c r="Y33" i="35"/>
  <c r="V34" i="35"/>
  <c r="W34" i="35" s="1"/>
  <c r="U35" i="35"/>
  <c r="O18" i="35"/>
  <c r="T35" i="35"/>
  <c r="E19" i="31"/>
  <c r="F18" i="31"/>
  <c r="P18" i="31"/>
  <c r="Q17" i="31"/>
  <c r="AO46" i="40"/>
  <c r="I17" i="35"/>
  <c r="M25" i="41"/>
  <c r="N25" i="41"/>
  <c r="L25" i="41"/>
  <c r="F26" i="41"/>
  <c r="J26" i="41" s="1"/>
  <c r="I27" i="41"/>
  <c r="H28" i="41"/>
  <c r="C27" i="41"/>
  <c r="D27" i="41" s="1"/>
  <c r="J25" i="41"/>
  <c r="B32" i="41"/>
  <c r="X28" i="41"/>
  <c r="Y27" i="41"/>
  <c r="O44" i="34"/>
  <c r="L45" i="34"/>
  <c r="M45" i="34" s="1"/>
  <c r="K46" i="34"/>
  <c r="O14" i="34"/>
  <c r="AO28" i="35"/>
  <c r="AD27" i="35"/>
  <c r="AE27" i="35"/>
  <c r="AK26" i="35"/>
  <c r="AB25" i="35"/>
  <c r="L15" i="34"/>
  <c r="M15" i="34" s="1"/>
  <c r="K16" i="34"/>
  <c r="AP8" i="31"/>
  <c r="AL9" i="31"/>
  <c r="AI11" i="31"/>
  <c r="AJ10" i="31"/>
  <c r="AO10" i="31" s="1"/>
  <c r="AK9" i="31"/>
  <c r="X34" i="35" l="1"/>
  <c r="Y34" i="35"/>
  <c r="V35" i="35"/>
  <c r="W35" i="35" s="1"/>
  <c r="U36" i="35"/>
  <c r="O19" i="35"/>
  <c r="T36" i="35"/>
  <c r="P19" i="31"/>
  <c r="Q18" i="31"/>
  <c r="E20" i="31"/>
  <c r="F19" i="31"/>
  <c r="AO47" i="40"/>
  <c r="I18" i="35"/>
  <c r="I28" i="41"/>
  <c r="H29" i="41"/>
  <c r="C28" i="41"/>
  <c r="D28" i="41" s="1"/>
  <c r="J27" i="41"/>
  <c r="F27" i="41"/>
  <c r="N26" i="41"/>
  <c r="M26" i="41"/>
  <c r="L26" i="41"/>
  <c r="X29" i="41"/>
  <c r="Y28" i="41"/>
  <c r="B33" i="41"/>
  <c r="O45" i="34"/>
  <c r="L46" i="34"/>
  <c r="M46" i="34" s="1"/>
  <c r="K47" i="34"/>
  <c r="O15" i="34"/>
  <c r="AO29" i="35"/>
  <c r="AE28" i="35"/>
  <c r="AD28" i="35"/>
  <c r="AK27" i="35"/>
  <c r="AC26" i="35"/>
  <c r="AB26" i="35"/>
  <c r="L16" i="34"/>
  <c r="M16" i="34" s="1"/>
  <c r="K17" i="34"/>
  <c r="AP9" i="31"/>
  <c r="AP10" i="31" s="1"/>
  <c r="AQ9" i="31"/>
  <c r="AK10" i="31"/>
  <c r="AL10" i="31"/>
  <c r="AI12" i="31"/>
  <c r="AJ11" i="31"/>
  <c r="AO11" i="31" s="1"/>
  <c r="X35" i="35" l="1"/>
  <c r="Y35" i="35"/>
  <c r="V36" i="35"/>
  <c r="W36" i="35" s="1"/>
  <c r="U37" i="35"/>
  <c r="O20" i="35"/>
  <c r="T37" i="35"/>
  <c r="E21" i="31"/>
  <c r="F20" i="31"/>
  <c r="P20" i="31"/>
  <c r="Q19" i="31"/>
  <c r="AO48" i="40"/>
  <c r="I19" i="35"/>
  <c r="F28" i="41"/>
  <c r="I29" i="41"/>
  <c r="C29" i="41"/>
  <c r="D29" i="41" s="1"/>
  <c r="H30" i="41"/>
  <c r="M27" i="41"/>
  <c r="N27" i="41"/>
  <c r="L27" i="41"/>
  <c r="X30" i="41"/>
  <c r="Y29" i="41"/>
  <c r="B34" i="41"/>
  <c r="O46" i="34"/>
  <c r="L47" i="34"/>
  <c r="M47" i="34" s="1"/>
  <c r="K48" i="34"/>
  <c r="O16" i="34"/>
  <c r="AO30" i="35"/>
  <c r="AD29" i="35"/>
  <c r="AE29" i="35"/>
  <c r="AK28" i="35"/>
  <c r="AB27" i="35"/>
  <c r="AC27" i="35"/>
  <c r="L17" i="34"/>
  <c r="M17" i="34" s="1"/>
  <c r="K18" i="34"/>
  <c r="AK11" i="31"/>
  <c r="AL11" i="31"/>
  <c r="AP11" i="31"/>
  <c r="AQ10" i="31"/>
  <c r="AI13" i="31"/>
  <c r="AJ12" i="31"/>
  <c r="AO12" i="31" s="1"/>
  <c r="X36" i="35" l="1"/>
  <c r="Y36" i="35"/>
  <c r="V37" i="35"/>
  <c r="W37" i="35" s="1"/>
  <c r="U38" i="35"/>
  <c r="O21" i="35"/>
  <c r="T38" i="35"/>
  <c r="P21" i="31"/>
  <c r="Q20" i="31"/>
  <c r="E22" i="31"/>
  <c r="F21" i="31"/>
  <c r="I20" i="35"/>
  <c r="F29" i="41"/>
  <c r="L28" i="41"/>
  <c r="N28" i="41"/>
  <c r="M28" i="41"/>
  <c r="I30" i="41"/>
  <c r="H31" i="41"/>
  <c r="C30" i="41"/>
  <c r="D30" i="41" s="1"/>
  <c r="J28" i="41"/>
  <c r="B35" i="41"/>
  <c r="X31" i="41"/>
  <c r="Y30" i="41"/>
  <c r="O47" i="34"/>
  <c r="L48" i="34"/>
  <c r="M48" i="34" s="1"/>
  <c r="K49" i="34"/>
  <c r="O17" i="34"/>
  <c r="AO31" i="35"/>
  <c r="AE30" i="35"/>
  <c r="AD30" i="35"/>
  <c r="AK29" i="35"/>
  <c r="AB28" i="35"/>
  <c r="AC28" i="35"/>
  <c r="L18" i="34"/>
  <c r="M18" i="34" s="1"/>
  <c r="K19" i="34"/>
  <c r="AQ11" i="31"/>
  <c r="AL12" i="31"/>
  <c r="AP12" i="31"/>
  <c r="AI14" i="31"/>
  <c r="AJ13" i="31"/>
  <c r="AO13" i="31" s="1"/>
  <c r="AK12" i="31"/>
  <c r="X37" i="35" l="1"/>
  <c r="Y37" i="35"/>
  <c r="V38" i="35"/>
  <c r="W38" i="35" s="1"/>
  <c r="U39" i="35"/>
  <c r="O22" i="35"/>
  <c r="T39" i="35"/>
  <c r="E23" i="31"/>
  <c r="F22" i="31"/>
  <c r="P22" i="31"/>
  <c r="Q21" i="31"/>
  <c r="AO49" i="40"/>
  <c r="I21" i="35"/>
  <c r="I31" i="41"/>
  <c r="C31" i="41"/>
  <c r="D31" i="41" s="1"/>
  <c r="H32" i="41"/>
  <c r="N29" i="41"/>
  <c r="M29" i="41"/>
  <c r="L29" i="41"/>
  <c r="F30" i="41"/>
  <c r="J29" i="41"/>
  <c r="X32" i="41"/>
  <c r="Y31" i="41"/>
  <c r="B36" i="41"/>
  <c r="O48" i="34"/>
  <c r="L49" i="34"/>
  <c r="M49" i="34" s="1"/>
  <c r="K50" i="34"/>
  <c r="L50" i="34" s="1"/>
  <c r="M50" i="34" s="1"/>
  <c r="O18" i="34"/>
  <c r="AO32" i="35"/>
  <c r="AE31" i="35"/>
  <c r="AD31" i="35"/>
  <c r="AK30" i="35"/>
  <c r="AB29" i="35"/>
  <c r="AC29" i="35"/>
  <c r="L19" i="34"/>
  <c r="M19" i="34" s="1"/>
  <c r="K20" i="34"/>
  <c r="AK13" i="31"/>
  <c r="AL13" i="31"/>
  <c r="AP13" i="31"/>
  <c r="AQ12" i="31"/>
  <c r="AI15" i="31"/>
  <c r="AJ14" i="31"/>
  <c r="AO14" i="31" s="1"/>
  <c r="Y38" i="35" l="1"/>
  <c r="X38" i="35"/>
  <c r="V39" i="35"/>
  <c r="W39" i="35" s="1"/>
  <c r="U40" i="35"/>
  <c r="O23" i="35"/>
  <c r="T40" i="35"/>
  <c r="P23" i="31"/>
  <c r="Q22" i="31"/>
  <c r="E24" i="31"/>
  <c r="F23" i="31"/>
  <c r="I22" i="35"/>
  <c r="J30" i="41"/>
  <c r="I32" i="41"/>
  <c r="H33" i="41"/>
  <c r="C32" i="41"/>
  <c r="D32" i="41" s="1"/>
  <c r="N30" i="41"/>
  <c r="L30" i="41"/>
  <c r="M30" i="41"/>
  <c r="F31" i="41"/>
  <c r="J31" i="41" s="1"/>
  <c r="B37" i="41"/>
  <c r="X33" i="41"/>
  <c r="Y32" i="41"/>
  <c r="O49" i="34"/>
  <c r="O50" i="34"/>
  <c r="O19" i="34"/>
  <c r="AO33" i="35"/>
  <c r="AE32" i="35"/>
  <c r="AD32" i="35"/>
  <c r="AK31" i="35"/>
  <c r="AC30" i="35"/>
  <c r="AB30" i="35"/>
  <c r="L20" i="34"/>
  <c r="M20" i="34" s="1"/>
  <c r="K21" i="34"/>
  <c r="AL14" i="31"/>
  <c r="AP14" i="31"/>
  <c r="AQ13" i="31"/>
  <c r="AI16" i="31"/>
  <c r="AJ15" i="31"/>
  <c r="AO15" i="31" s="1"/>
  <c r="AK14" i="31"/>
  <c r="H21" i="21"/>
  <c r="I24" i="21"/>
  <c r="B14" i="21"/>
  <c r="B17" i="21" s="1"/>
  <c r="F15" i="21"/>
  <c r="O2" i="21" s="1"/>
  <c r="X39" i="35" l="1"/>
  <c r="F18" i="21"/>
  <c r="Y39" i="35"/>
  <c r="V40" i="35"/>
  <c r="W40" i="35" s="1"/>
  <c r="U41" i="35"/>
  <c r="O24" i="35"/>
  <c r="T41" i="35"/>
  <c r="E24" i="21"/>
  <c r="N7" i="21" s="1"/>
  <c r="E40" i="21"/>
  <c r="I29" i="21"/>
  <c r="I27" i="21"/>
  <c r="I39" i="21"/>
  <c r="E25" i="31"/>
  <c r="G24" i="31"/>
  <c r="F24" i="31"/>
  <c r="P24" i="31"/>
  <c r="Q23" i="31"/>
  <c r="M31" i="21"/>
  <c r="M8" i="21"/>
  <c r="M12" i="21"/>
  <c r="M16" i="21"/>
  <c r="M20" i="21"/>
  <c r="M24" i="21"/>
  <c r="M28" i="21"/>
  <c r="M32" i="21"/>
  <c r="M34" i="21"/>
  <c r="M15" i="21"/>
  <c r="M23" i="21"/>
  <c r="M5" i="21"/>
  <c r="M9" i="21"/>
  <c r="M13" i="21"/>
  <c r="M17" i="21"/>
  <c r="M21" i="21"/>
  <c r="M25" i="21"/>
  <c r="M29" i="21"/>
  <c r="M33" i="21"/>
  <c r="M6" i="21"/>
  <c r="M10" i="21"/>
  <c r="M14" i="21"/>
  <c r="M18" i="21"/>
  <c r="M22" i="21"/>
  <c r="M26" i="21"/>
  <c r="M30" i="21"/>
  <c r="M7" i="21"/>
  <c r="M11" i="21"/>
  <c r="M19" i="21"/>
  <c r="M27" i="21"/>
  <c r="AO50" i="40"/>
  <c r="I23" i="35"/>
  <c r="F32" i="41"/>
  <c r="I33" i="41"/>
  <c r="C33" i="41"/>
  <c r="D33" i="41" s="1"/>
  <c r="H34" i="41"/>
  <c r="M31" i="41"/>
  <c r="N31" i="41"/>
  <c r="L31" i="41"/>
  <c r="X34" i="41"/>
  <c r="Y33" i="41"/>
  <c r="B38" i="41"/>
  <c r="B15" i="21"/>
  <c r="O20" i="34"/>
  <c r="AO34" i="35"/>
  <c r="AD33" i="35"/>
  <c r="AE33" i="35"/>
  <c r="AK32" i="35"/>
  <c r="AC31" i="35"/>
  <c r="AB31" i="35"/>
  <c r="L21" i="34"/>
  <c r="M21" i="34" s="1"/>
  <c r="K22" i="34"/>
  <c r="AQ14" i="31"/>
  <c r="AK15" i="31"/>
  <c r="AL15" i="31"/>
  <c r="AP15" i="31"/>
  <c r="AI17" i="31"/>
  <c r="AJ16" i="31"/>
  <c r="AO16" i="31" s="1"/>
  <c r="G23" i="31"/>
  <c r="L5" i="21"/>
  <c r="L6" i="21" s="1"/>
  <c r="L7" i="21" s="1"/>
  <c r="L8" i="21" s="1"/>
  <c r="L9" i="21" s="1"/>
  <c r="L10" i="21" s="1"/>
  <c r="L11" i="21" s="1"/>
  <c r="L12" i="21" s="1"/>
  <c r="L13" i="21" s="1"/>
  <c r="L14" i="21" s="1"/>
  <c r="L15" i="21" s="1"/>
  <c r="L16" i="21" s="1"/>
  <c r="L17" i="21" s="1"/>
  <c r="L18" i="21" s="1"/>
  <c r="L19" i="21" s="1"/>
  <c r="L20" i="21" s="1"/>
  <c r="L21" i="21" s="1"/>
  <c r="L22" i="21" s="1"/>
  <c r="L23" i="21" s="1"/>
  <c r="L24" i="21" s="1"/>
  <c r="L25" i="21" s="1"/>
  <c r="L26" i="21" s="1"/>
  <c r="L27" i="21" s="1"/>
  <c r="L28" i="21" s="1"/>
  <c r="L29" i="21" s="1"/>
  <c r="L30" i="21" s="1"/>
  <c r="L31" i="21" s="1"/>
  <c r="L32" i="21" s="1"/>
  <c r="L33" i="21" s="1"/>
  <c r="L34" i="21" s="1"/>
  <c r="E29" i="21"/>
  <c r="I41" i="21"/>
  <c r="E41" i="21"/>
  <c r="N5" i="21" l="1"/>
  <c r="P5" i="21" s="1"/>
  <c r="X40" i="35"/>
  <c r="Y40" i="35"/>
  <c r="V41" i="35"/>
  <c r="W41" i="35" s="1"/>
  <c r="U42" i="35"/>
  <c r="O25" i="35"/>
  <c r="T42" i="35"/>
  <c r="N25" i="21"/>
  <c r="N26" i="21"/>
  <c r="N16" i="21"/>
  <c r="N14" i="21"/>
  <c r="N27" i="21"/>
  <c r="N10" i="21"/>
  <c r="N17" i="21"/>
  <c r="N32" i="21"/>
  <c r="N12" i="21"/>
  <c r="N19" i="21"/>
  <c r="N30" i="21"/>
  <c r="N33" i="21"/>
  <c r="N13" i="21"/>
  <c r="N28" i="21"/>
  <c r="N15" i="21"/>
  <c r="N18" i="21"/>
  <c r="N29" i="21"/>
  <c r="N9" i="21"/>
  <c r="N20" i="21"/>
  <c r="N31" i="21"/>
  <c r="N11" i="21"/>
  <c r="N22" i="21"/>
  <c r="N6" i="21"/>
  <c r="N21" i="21"/>
  <c r="N34" i="21"/>
  <c r="N24" i="21"/>
  <c r="N8" i="21"/>
  <c r="N23" i="21"/>
  <c r="E50" i="21"/>
  <c r="E27" i="21"/>
  <c r="E39" i="21"/>
  <c r="I50" i="21"/>
  <c r="E42" i="21"/>
  <c r="P25" i="31"/>
  <c r="Q24" i="31"/>
  <c r="R24" i="31"/>
  <c r="E26" i="31"/>
  <c r="G25" i="31"/>
  <c r="F25" i="31"/>
  <c r="I24" i="35"/>
  <c r="F33" i="41"/>
  <c r="N32" i="41"/>
  <c r="L32" i="41"/>
  <c r="M32" i="41"/>
  <c r="I34" i="41"/>
  <c r="C34" i="41"/>
  <c r="D34" i="41" s="1"/>
  <c r="H35" i="41"/>
  <c r="J32" i="41"/>
  <c r="X35" i="41"/>
  <c r="Y34" i="41"/>
  <c r="B39" i="41"/>
  <c r="O21" i="34"/>
  <c r="AO35" i="35"/>
  <c r="AE34" i="35"/>
  <c r="AD34" i="35"/>
  <c r="AK33" i="35"/>
  <c r="AC32" i="35"/>
  <c r="AB32" i="35"/>
  <c r="L22" i="34"/>
  <c r="M22" i="34" s="1"/>
  <c r="K23" i="34"/>
  <c r="L23" i="34" s="1"/>
  <c r="M23" i="34" s="1"/>
  <c r="AQ15" i="31"/>
  <c r="AL16" i="31"/>
  <c r="AP16" i="31"/>
  <c r="AI18" i="31"/>
  <c r="AJ17" i="31"/>
  <c r="AO17" i="31" s="1"/>
  <c r="AK16" i="31"/>
  <c r="R23" i="31"/>
  <c r="O5" i="21" l="1"/>
  <c r="O6" i="21" s="1"/>
  <c r="O7" i="21" s="1"/>
  <c r="O8" i="21" s="1"/>
  <c r="O9" i="21" s="1"/>
  <c r="Y41" i="35"/>
  <c r="X41" i="35"/>
  <c r="V42" i="35"/>
  <c r="W42" i="35" s="1"/>
  <c r="U43" i="35"/>
  <c r="O26" i="35"/>
  <c r="T43" i="35"/>
  <c r="P6" i="21"/>
  <c r="P7" i="21" s="1"/>
  <c r="P8" i="21" s="1"/>
  <c r="P9" i="21" s="1"/>
  <c r="P10" i="21" s="1"/>
  <c r="P11" i="21" s="1"/>
  <c r="P12" i="21" s="1"/>
  <c r="P13" i="21" s="1"/>
  <c r="P14" i="21" s="1"/>
  <c r="P15" i="21" s="1"/>
  <c r="P16" i="21" s="1"/>
  <c r="P17" i="21" s="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P28" i="21" s="1"/>
  <c r="P29" i="21" s="1"/>
  <c r="P30" i="21" s="1"/>
  <c r="P31" i="21" s="1"/>
  <c r="P32" i="21" s="1"/>
  <c r="P33" i="21" s="1"/>
  <c r="P34" i="21" s="1"/>
  <c r="P26" i="31"/>
  <c r="R25" i="31"/>
  <c r="Q25" i="31"/>
  <c r="E27" i="31"/>
  <c r="G26" i="31"/>
  <c r="F26" i="31"/>
  <c r="AO51" i="40"/>
  <c r="I25" i="35"/>
  <c r="M33" i="41"/>
  <c r="N33" i="41"/>
  <c r="L33" i="41"/>
  <c r="I35" i="41"/>
  <c r="C35" i="41"/>
  <c r="D35" i="41" s="1"/>
  <c r="H36" i="41"/>
  <c r="F34" i="41"/>
  <c r="J33" i="41"/>
  <c r="B40" i="41"/>
  <c r="X36" i="41"/>
  <c r="Y35" i="41"/>
  <c r="O23" i="34"/>
  <c r="O22" i="34"/>
  <c r="AO36" i="35"/>
  <c r="AE35" i="35"/>
  <c r="AD35" i="35"/>
  <c r="AK34" i="35"/>
  <c r="AB33" i="35"/>
  <c r="AC33" i="35"/>
  <c r="AQ16" i="31"/>
  <c r="AL17" i="31"/>
  <c r="AP17" i="31"/>
  <c r="AI19" i="31"/>
  <c r="AJ18" i="31"/>
  <c r="AO18" i="31" s="1"/>
  <c r="AK17" i="31"/>
  <c r="X42" i="35" l="1"/>
  <c r="Y42" i="35"/>
  <c r="V43" i="35"/>
  <c r="W43" i="35" s="1"/>
  <c r="U44" i="35"/>
  <c r="O27" i="35"/>
  <c r="T44" i="35"/>
  <c r="U45" i="35" s="1"/>
  <c r="E28" i="31"/>
  <c r="G27" i="31"/>
  <c r="F27" i="31"/>
  <c r="P27" i="31"/>
  <c r="R26" i="31"/>
  <c r="Q26" i="31"/>
  <c r="AO52" i="40"/>
  <c r="I26" i="35"/>
  <c r="J34" i="41"/>
  <c r="N34" i="41"/>
  <c r="M34" i="41"/>
  <c r="L34" i="41"/>
  <c r="I36" i="41"/>
  <c r="C36" i="41"/>
  <c r="D36" i="41" s="1"/>
  <c r="H37" i="41"/>
  <c r="F35" i="41"/>
  <c r="X37" i="41"/>
  <c r="Y36" i="41"/>
  <c r="B41" i="41"/>
  <c r="AO37" i="35"/>
  <c r="AE36" i="35"/>
  <c r="AD36" i="35"/>
  <c r="AK35" i="35"/>
  <c r="AC34" i="35"/>
  <c r="AB34" i="35"/>
  <c r="AP18" i="31"/>
  <c r="AK18" i="31"/>
  <c r="AL18" i="31"/>
  <c r="AQ17" i="31"/>
  <c r="AQ18" i="31" s="1"/>
  <c r="AI20" i="31"/>
  <c r="AJ19" i="31"/>
  <c r="AO19" i="31" s="1"/>
  <c r="O10" i="21"/>
  <c r="O11" i="21" s="1"/>
  <c r="O12" i="21" s="1"/>
  <c r="O13" i="21" s="1"/>
  <c r="O14" i="21" s="1"/>
  <c r="O15" i="21" s="1"/>
  <c r="O16" i="21" s="1"/>
  <c r="O17" i="21" s="1"/>
  <c r="O18" i="21" s="1"/>
  <c r="O19" i="21" s="1"/>
  <c r="I28" i="21"/>
  <c r="F31" i="21" s="1"/>
  <c r="X43" i="35" l="1"/>
  <c r="Y43" i="35"/>
  <c r="V44" i="35"/>
  <c r="W44" i="35" s="1"/>
  <c r="O28" i="35"/>
  <c r="T45" i="35"/>
  <c r="U46" i="35" s="1"/>
  <c r="P28" i="31"/>
  <c r="Q27" i="31"/>
  <c r="R27" i="31"/>
  <c r="E29" i="31"/>
  <c r="G28" i="31"/>
  <c r="F28" i="31"/>
  <c r="AO53" i="40"/>
  <c r="I27" i="35"/>
  <c r="M35" i="41"/>
  <c r="L35" i="41"/>
  <c r="N35" i="41"/>
  <c r="J35" i="41"/>
  <c r="I37" i="41"/>
  <c r="C37" i="41"/>
  <c r="D37" i="41" s="1"/>
  <c r="H38" i="41"/>
  <c r="F36" i="41"/>
  <c r="B42" i="41"/>
  <c r="X38" i="41"/>
  <c r="Y37" i="41"/>
  <c r="AO38" i="35"/>
  <c r="AD37" i="35"/>
  <c r="AE37" i="35"/>
  <c r="AK36" i="35"/>
  <c r="AC35" i="35"/>
  <c r="AB35" i="35"/>
  <c r="AK19" i="31"/>
  <c r="AP19" i="31"/>
  <c r="AL19" i="31"/>
  <c r="AI21" i="31"/>
  <c r="AJ20" i="31"/>
  <c r="AO20" i="31" s="1"/>
  <c r="O20" i="2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I40" i="21"/>
  <c r="I51" i="21" l="1"/>
  <c r="I53" i="21" s="1"/>
  <c r="H55" i="21" s="1"/>
  <c r="Y44" i="35"/>
  <c r="X44" i="35"/>
  <c r="V45" i="35"/>
  <c r="W45" i="35" s="1"/>
  <c r="O29" i="35"/>
  <c r="T46" i="35"/>
  <c r="U47" i="35" s="1"/>
  <c r="E30" i="31"/>
  <c r="G29" i="31"/>
  <c r="F29" i="31"/>
  <c r="P29" i="31"/>
  <c r="Q28" i="31"/>
  <c r="R28" i="31"/>
  <c r="AO54" i="40"/>
  <c r="I28" i="35"/>
  <c r="J36" i="41"/>
  <c r="F37" i="41"/>
  <c r="I38" i="41"/>
  <c r="H39" i="41"/>
  <c r="C38" i="41"/>
  <c r="D38" i="41" s="1"/>
  <c r="L36" i="41"/>
  <c r="N36" i="41"/>
  <c r="M36" i="41"/>
  <c r="X39" i="41"/>
  <c r="Y38" i="41"/>
  <c r="B43" i="41"/>
  <c r="AO39" i="35"/>
  <c r="AE38" i="35"/>
  <c r="AD38" i="35"/>
  <c r="AK37" i="35"/>
  <c r="AC36" i="35"/>
  <c r="AB36" i="35"/>
  <c r="AQ19" i="31"/>
  <c r="AK20" i="31"/>
  <c r="AP20" i="31"/>
  <c r="AI22" i="31"/>
  <c r="AJ21" i="31"/>
  <c r="AO21" i="31" s="1"/>
  <c r="AL20" i="31"/>
  <c r="I42" i="21"/>
  <c r="H44" i="21" s="1"/>
  <c r="X45" i="35" l="1"/>
  <c r="Y45" i="35"/>
  <c r="V46" i="35"/>
  <c r="W46" i="35" s="1"/>
  <c r="O30" i="35"/>
  <c r="T47" i="35"/>
  <c r="E31" i="31"/>
  <c r="G30" i="31"/>
  <c r="F30" i="31"/>
  <c r="P30" i="31"/>
  <c r="R29" i="31"/>
  <c r="Q29" i="31"/>
  <c r="AO55" i="40"/>
  <c r="I29" i="35"/>
  <c r="I39" i="41"/>
  <c r="H40" i="41"/>
  <c r="C39" i="41"/>
  <c r="D39" i="41" s="1"/>
  <c r="M37" i="41"/>
  <c r="N37" i="41"/>
  <c r="L37" i="41"/>
  <c r="F38" i="41"/>
  <c r="J37" i="41"/>
  <c r="B44" i="41"/>
  <c r="X40" i="41"/>
  <c r="Y40" i="41" s="1"/>
  <c r="Y39" i="41"/>
  <c r="AO40" i="35"/>
  <c r="AE39" i="35"/>
  <c r="AD39" i="35"/>
  <c r="AK38" i="35"/>
  <c r="AB37" i="35"/>
  <c r="AC37" i="35"/>
  <c r="AP21" i="31"/>
  <c r="AL21" i="31"/>
  <c r="AK21" i="31"/>
  <c r="AQ20" i="31"/>
  <c r="AQ21" i="31" s="1"/>
  <c r="AI23" i="31"/>
  <c r="AJ22" i="31"/>
  <c r="AO22" i="31" s="1"/>
  <c r="X46" i="35" l="1"/>
  <c r="V47" i="35"/>
  <c r="W47" i="35" s="1"/>
  <c r="U48" i="35"/>
  <c r="Y46" i="35"/>
  <c r="O31" i="35"/>
  <c r="T48" i="35"/>
  <c r="P31" i="31"/>
  <c r="R30" i="31"/>
  <c r="Q30" i="31"/>
  <c r="E32" i="31"/>
  <c r="G31" i="31"/>
  <c r="F31" i="31"/>
  <c r="AO56" i="40"/>
  <c r="I30" i="35"/>
  <c r="J38" i="41"/>
  <c r="F39" i="41"/>
  <c r="H41" i="41"/>
  <c r="C40" i="41"/>
  <c r="D40" i="41" s="1"/>
  <c r="N38" i="41"/>
  <c r="M38" i="41"/>
  <c r="L38" i="41"/>
  <c r="B45" i="41"/>
  <c r="AO41" i="35"/>
  <c r="AE40" i="35"/>
  <c r="AD40" i="35"/>
  <c r="AK39" i="35"/>
  <c r="AC38" i="35"/>
  <c r="AB38" i="35"/>
  <c r="AL22" i="31"/>
  <c r="AP22" i="31"/>
  <c r="AK22" i="31"/>
  <c r="AI24" i="31"/>
  <c r="AJ24" i="31" s="1"/>
  <c r="AO24" i="31" s="1"/>
  <c r="AJ23" i="31"/>
  <c r="AO23" i="31" s="1"/>
  <c r="Y47" i="35" l="1"/>
  <c r="X47" i="35"/>
  <c r="V48" i="35"/>
  <c r="W48" i="35" s="1"/>
  <c r="U49" i="35"/>
  <c r="O32" i="35"/>
  <c r="T49" i="35"/>
  <c r="P32" i="31"/>
  <c r="Q31" i="31"/>
  <c r="R31" i="31"/>
  <c r="E33" i="31"/>
  <c r="G32" i="31"/>
  <c r="F32" i="31"/>
  <c r="AO57" i="40"/>
  <c r="I31" i="35"/>
  <c r="H42" i="41"/>
  <c r="C41" i="41"/>
  <c r="D41" i="41" s="1"/>
  <c r="M39" i="41"/>
  <c r="L39" i="41"/>
  <c r="N39" i="41"/>
  <c r="F40" i="41"/>
  <c r="J39" i="41"/>
  <c r="B46" i="41"/>
  <c r="AO42" i="35"/>
  <c r="AD41" i="35"/>
  <c r="AE41" i="35"/>
  <c r="AK40" i="35"/>
  <c r="AB39" i="35"/>
  <c r="AC39" i="35"/>
  <c r="AL23" i="31"/>
  <c r="AL24" i="31" s="1"/>
  <c r="AP23" i="31"/>
  <c r="AP24" i="31" s="1"/>
  <c r="AP25" i="31" s="1"/>
  <c r="AQ22" i="31"/>
  <c r="AK23" i="31"/>
  <c r="AK24" i="31" s="1"/>
  <c r="AK25" i="31" s="1"/>
  <c r="AM3" i="31" s="1"/>
  <c r="X48" i="35" l="1"/>
  <c r="Y48" i="35"/>
  <c r="V49" i="35"/>
  <c r="W49" i="35" s="1"/>
  <c r="U50" i="35"/>
  <c r="O33" i="35"/>
  <c r="T50" i="35"/>
  <c r="E34" i="31"/>
  <c r="G33" i="31"/>
  <c r="F33" i="31"/>
  <c r="P33" i="31"/>
  <c r="Q32" i="31"/>
  <c r="R32" i="31"/>
  <c r="AO58" i="40"/>
  <c r="I32" i="35"/>
  <c r="M40" i="41"/>
  <c r="L40" i="41"/>
  <c r="N40" i="41"/>
  <c r="F41" i="41"/>
  <c r="C42" i="41"/>
  <c r="D42" i="41" s="1"/>
  <c r="H43" i="41"/>
  <c r="J40" i="41"/>
  <c r="B47" i="41"/>
  <c r="AO43" i="35"/>
  <c r="AE42" i="35"/>
  <c r="AD42" i="35"/>
  <c r="AK41" i="35"/>
  <c r="AC40" i="35"/>
  <c r="AB40" i="35"/>
  <c r="AN5" i="31"/>
  <c r="AN6" i="31" s="1"/>
  <c r="AN7" i="31" s="1"/>
  <c r="AN8" i="31" s="1"/>
  <c r="AN9" i="31" s="1"/>
  <c r="AN10" i="31" s="1"/>
  <c r="AN11" i="31" s="1"/>
  <c r="AN12" i="31" s="1"/>
  <c r="AN13" i="31" s="1"/>
  <c r="AN14" i="31" s="1"/>
  <c r="AN15" i="31" s="1"/>
  <c r="AN16" i="31" s="1"/>
  <c r="AN17" i="31" s="1"/>
  <c r="AN18" i="31" s="1"/>
  <c r="AN19" i="31" s="1"/>
  <c r="AN20" i="31" s="1"/>
  <c r="AN21" i="31" s="1"/>
  <c r="AN22" i="31" s="1"/>
  <c r="AN23" i="31" s="1"/>
  <c r="AN24" i="31" s="1"/>
  <c r="AM5" i="31"/>
  <c r="AM6" i="31" s="1"/>
  <c r="AM7" i="31" s="1"/>
  <c r="AM8" i="31" s="1"/>
  <c r="AM9" i="31" s="1"/>
  <c r="AM10" i="31" s="1"/>
  <c r="AM11" i="31" s="1"/>
  <c r="AM12" i="31" s="1"/>
  <c r="AM13" i="31" s="1"/>
  <c r="AM14" i="31" s="1"/>
  <c r="AM15" i="31" s="1"/>
  <c r="AM16" i="31" s="1"/>
  <c r="AM17" i="31" s="1"/>
  <c r="AM18" i="31" s="1"/>
  <c r="AM19" i="31" s="1"/>
  <c r="AM20" i="31" s="1"/>
  <c r="AM21" i="31" s="1"/>
  <c r="AM22" i="31" s="1"/>
  <c r="AM23" i="31" s="1"/>
  <c r="AM24" i="31" s="1"/>
  <c r="AQ23" i="31"/>
  <c r="AQ24" i="31" s="1"/>
  <c r="Y49" i="35" l="1"/>
  <c r="X49" i="35"/>
  <c r="V50" i="35"/>
  <c r="W50" i="35" s="1"/>
  <c r="U51" i="35"/>
  <c r="O34" i="35"/>
  <c r="T51" i="35"/>
  <c r="U52" i="35" s="1"/>
  <c r="P34" i="31"/>
  <c r="R33" i="31"/>
  <c r="Q33" i="31"/>
  <c r="E35" i="31"/>
  <c r="G34" i="31"/>
  <c r="F34" i="31"/>
  <c r="I33" i="35"/>
  <c r="J41" i="41"/>
  <c r="H44" i="41"/>
  <c r="C43" i="41"/>
  <c r="D43" i="41" s="1"/>
  <c r="F42" i="41"/>
  <c r="N41" i="41"/>
  <c r="M41" i="41"/>
  <c r="L41" i="41"/>
  <c r="B48" i="41"/>
  <c r="AO44" i="35"/>
  <c r="AE43" i="35"/>
  <c r="AD43" i="35"/>
  <c r="AK42" i="35"/>
  <c r="AB41" i="35"/>
  <c r="AC41" i="35"/>
  <c r="X50" i="35" l="1"/>
  <c r="Y50" i="35"/>
  <c r="V51" i="35"/>
  <c r="W51" i="35" s="1"/>
  <c r="O35" i="35"/>
  <c r="T52" i="35"/>
  <c r="U53" i="35" s="1"/>
  <c r="E36" i="31"/>
  <c r="G35" i="31"/>
  <c r="F35" i="31"/>
  <c r="P35" i="31"/>
  <c r="R34" i="31"/>
  <c r="Q34" i="31"/>
  <c r="AO59" i="40"/>
  <c r="I34" i="35"/>
  <c r="J42" i="41"/>
  <c r="F43" i="41"/>
  <c r="C44" i="41"/>
  <c r="D44" i="41" s="1"/>
  <c r="H45" i="41"/>
  <c r="L42" i="41"/>
  <c r="N42" i="41"/>
  <c r="N43" i="41" s="1"/>
  <c r="M42" i="41"/>
  <c r="M43" i="41" s="1"/>
  <c r="B49" i="41"/>
  <c r="AO45" i="35"/>
  <c r="AE44" i="35"/>
  <c r="AD44" i="35"/>
  <c r="AK43" i="35"/>
  <c r="AC42" i="35"/>
  <c r="AB42" i="35"/>
  <c r="X51" i="35" l="1"/>
  <c r="Y51" i="35"/>
  <c r="V52" i="35"/>
  <c r="W52" i="35" s="1"/>
  <c r="O36" i="35"/>
  <c r="T53" i="35"/>
  <c r="U54" i="35" s="1"/>
  <c r="P36" i="31"/>
  <c r="Q35" i="31"/>
  <c r="R35" i="31"/>
  <c r="E37" i="31"/>
  <c r="G36" i="31"/>
  <c r="F36" i="31"/>
  <c r="I35" i="35"/>
  <c r="F44" i="41"/>
  <c r="L43" i="41"/>
  <c r="H46" i="41"/>
  <c r="C45" i="41"/>
  <c r="D45" i="41" s="1"/>
  <c r="J43" i="41"/>
  <c r="B50" i="41"/>
  <c r="AO46" i="35"/>
  <c r="AD45" i="35"/>
  <c r="AE45" i="35"/>
  <c r="AK44" i="35"/>
  <c r="AC43" i="35"/>
  <c r="AB43" i="35"/>
  <c r="X52" i="35" l="1"/>
  <c r="Y52" i="35"/>
  <c r="V53" i="35"/>
  <c r="W53" i="35" s="1"/>
  <c r="O37" i="35"/>
  <c r="T54" i="35"/>
  <c r="U55" i="35" s="1"/>
  <c r="E38" i="31"/>
  <c r="G37" i="31"/>
  <c r="F37" i="31"/>
  <c r="P37" i="31"/>
  <c r="Q36" i="31"/>
  <c r="R36" i="31"/>
  <c r="AO60" i="40"/>
  <c r="I36" i="35"/>
  <c r="F45" i="41"/>
  <c r="N44" i="41"/>
  <c r="L44" i="41"/>
  <c r="M44" i="41"/>
  <c r="H47" i="41"/>
  <c r="C46" i="41"/>
  <c r="D46" i="41" s="1"/>
  <c r="J44" i="41"/>
  <c r="B51" i="41"/>
  <c r="AO47" i="35"/>
  <c r="AE46" i="35"/>
  <c r="AD46" i="35"/>
  <c r="AK45" i="35"/>
  <c r="AC44" i="35"/>
  <c r="AB44" i="35"/>
  <c r="X53" i="35" l="1"/>
  <c r="Y53" i="35"/>
  <c r="V54" i="35"/>
  <c r="W54" i="35" s="1"/>
  <c r="O38" i="35"/>
  <c r="T55" i="35"/>
  <c r="P38" i="31"/>
  <c r="R37" i="31"/>
  <c r="Q37" i="31"/>
  <c r="E39" i="31"/>
  <c r="G38" i="31"/>
  <c r="F38" i="31"/>
  <c r="I37" i="35"/>
  <c r="M45" i="41"/>
  <c r="F46" i="41"/>
  <c r="N45" i="41"/>
  <c r="L45" i="41"/>
  <c r="C47" i="41"/>
  <c r="D47" i="41" s="1"/>
  <c r="H48" i="41"/>
  <c r="J45" i="41"/>
  <c r="J46" i="41" s="1"/>
  <c r="B52" i="41"/>
  <c r="AO48" i="35"/>
  <c r="AE47" i="35"/>
  <c r="AD47" i="35"/>
  <c r="AK46" i="35"/>
  <c r="AB45" i="35"/>
  <c r="AC45" i="35"/>
  <c r="X54" i="35" l="1"/>
  <c r="V55" i="35"/>
  <c r="W55" i="35" s="1"/>
  <c r="U56" i="35"/>
  <c r="Y54" i="35"/>
  <c r="O39" i="35"/>
  <c r="T56" i="35"/>
  <c r="V56" i="35" s="1"/>
  <c r="W56" i="35" s="1"/>
  <c r="E40" i="31"/>
  <c r="G39" i="31"/>
  <c r="F39" i="31"/>
  <c r="P39" i="31"/>
  <c r="R38" i="31"/>
  <c r="Q38" i="31"/>
  <c r="AO61" i="40"/>
  <c r="I38" i="35"/>
  <c r="F47" i="41"/>
  <c r="L46" i="41"/>
  <c r="N46" i="41"/>
  <c r="M46" i="41"/>
  <c r="H49" i="41"/>
  <c r="C48" i="41"/>
  <c r="D48" i="41" s="1"/>
  <c r="B53" i="41"/>
  <c r="AO49" i="35"/>
  <c r="AE48" i="35"/>
  <c r="AD48" i="35"/>
  <c r="AK47" i="35"/>
  <c r="AC46" i="35"/>
  <c r="AB46" i="35"/>
  <c r="X55" i="35" l="1"/>
  <c r="X56" i="35" s="1"/>
  <c r="Y55" i="35"/>
  <c r="Y56" i="35" s="1"/>
  <c r="O40" i="35"/>
  <c r="P40" i="31"/>
  <c r="Q39" i="31"/>
  <c r="R39" i="31"/>
  <c r="E41" i="31"/>
  <c r="G40" i="31"/>
  <c r="F40" i="31"/>
  <c r="I39" i="35"/>
  <c r="N47" i="41"/>
  <c r="L47" i="41"/>
  <c r="M47" i="41"/>
  <c r="F48" i="41"/>
  <c r="H50" i="41"/>
  <c r="C49" i="41"/>
  <c r="D49" i="41" s="1"/>
  <c r="J47" i="41"/>
  <c r="B54" i="41"/>
  <c r="AO50" i="35"/>
  <c r="AD49" i="35"/>
  <c r="AE49" i="35"/>
  <c r="AK48" i="35"/>
  <c r="AB47" i="35"/>
  <c r="AC47" i="35"/>
  <c r="O41" i="35" l="1"/>
  <c r="E42" i="31"/>
  <c r="G41" i="31"/>
  <c r="F41" i="31"/>
  <c r="P41" i="31"/>
  <c r="Q40" i="31"/>
  <c r="R40" i="31"/>
  <c r="AO62" i="40"/>
  <c r="I40" i="35"/>
  <c r="J48" i="41"/>
  <c r="L48" i="41"/>
  <c r="F49" i="41"/>
  <c r="H51" i="41"/>
  <c r="C50" i="41"/>
  <c r="D50" i="41" s="1"/>
  <c r="M48" i="41"/>
  <c r="N48" i="41"/>
  <c r="B55" i="41"/>
  <c r="AO51" i="35"/>
  <c r="AE50" i="35"/>
  <c r="AD50" i="35"/>
  <c r="AK49" i="35"/>
  <c r="AC48" i="35"/>
  <c r="AB48" i="35"/>
  <c r="O42" i="35" l="1"/>
  <c r="P42" i="31"/>
  <c r="R41" i="31"/>
  <c r="Q41" i="31"/>
  <c r="E43" i="31"/>
  <c r="G42" i="31"/>
  <c r="F42" i="31"/>
  <c r="I41" i="35"/>
  <c r="C51" i="41"/>
  <c r="D51" i="41" s="1"/>
  <c r="H52" i="41"/>
  <c r="M49" i="41"/>
  <c r="N49" i="41"/>
  <c r="L49" i="41"/>
  <c r="F50" i="41"/>
  <c r="J49" i="41"/>
  <c r="B56" i="41"/>
  <c r="AO52" i="35"/>
  <c r="AE51" i="35"/>
  <c r="AD51" i="35"/>
  <c r="AK50" i="35"/>
  <c r="AB49" i="35"/>
  <c r="AC49" i="35"/>
  <c r="O43" i="35" l="1"/>
  <c r="E44" i="31"/>
  <c r="G43" i="31"/>
  <c r="F43" i="31"/>
  <c r="P43" i="31"/>
  <c r="R42" i="31"/>
  <c r="Q42" i="31"/>
  <c r="I42" i="35"/>
  <c r="H53" i="41"/>
  <c r="C52" i="41"/>
  <c r="D52" i="41" s="1"/>
  <c r="N50" i="41"/>
  <c r="M50" i="41"/>
  <c r="L50" i="41"/>
  <c r="F51" i="41"/>
  <c r="J50" i="41"/>
  <c r="B57" i="41"/>
  <c r="AO53" i="35"/>
  <c r="AE52" i="35"/>
  <c r="AD52" i="35"/>
  <c r="AK51" i="35"/>
  <c r="AC50" i="35"/>
  <c r="AB50" i="35"/>
  <c r="O44" i="35" l="1"/>
  <c r="P44" i="31"/>
  <c r="Q43" i="31"/>
  <c r="R43" i="31"/>
  <c r="E45" i="31"/>
  <c r="G44" i="31"/>
  <c r="F44" i="31"/>
  <c r="I43" i="35"/>
  <c r="M51" i="41"/>
  <c r="L51" i="41"/>
  <c r="N51" i="41"/>
  <c r="F52" i="41"/>
  <c r="C53" i="41"/>
  <c r="D53" i="41" s="1"/>
  <c r="H54" i="41"/>
  <c r="J51" i="41"/>
  <c r="B58" i="41"/>
  <c r="AO54" i="35"/>
  <c r="AD53" i="35"/>
  <c r="AE53" i="35"/>
  <c r="AK52" i="35"/>
  <c r="AC51" i="35"/>
  <c r="AB51" i="35"/>
  <c r="O45" i="35" l="1"/>
  <c r="E46" i="31"/>
  <c r="G45" i="31"/>
  <c r="F45" i="31"/>
  <c r="P45" i="31"/>
  <c r="Q44" i="31"/>
  <c r="R44" i="31"/>
  <c r="I44" i="35"/>
  <c r="J52" i="41"/>
  <c r="C54" i="41"/>
  <c r="D54" i="41" s="1"/>
  <c r="H55" i="41"/>
  <c r="F53" i="41"/>
  <c r="J53" i="41" s="1"/>
  <c r="N52" i="41"/>
  <c r="M52" i="41"/>
  <c r="L52" i="41"/>
  <c r="B59" i="41"/>
  <c r="AO55" i="35"/>
  <c r="AE54" i="35"/>
  <c r="AD54" i="35"/>
  <c r="AK53" i="35"/>
  <c r="AB52" i="35"/>
  <c r="AC52" i="35"/>
  <c r="O46" i="35" l="1"/>
  <c r="P46" i="31"/>
  <c r="R45" i="31"/>
  <c r="Q45" i="31"/>
  <c r="E47" i="31"/>
  <c r="G46" i="31"/>
  <c r="F46" i="31"/>
  <c r="I45" i="35"/>
  <c r="M53" i="41"/>
  <c r="H56" i="41"/>
  <c r="C55" i="41"/>
  <c r="D55" i="41" s="1"/>
  <c r="F54" i="41"/>
  <c r="J54" i="41" s="1"/>
  <c r="N53" i="41"/>
  <c r="L53" i="41"/>
  <c r="AO56" i="35"/>
  <c r="AE55" i="35"/>
  <c r="AD55" i="35"/>
  <c r="AK54" i="35"/>
  <c r="AB53" i="35"/>
  <c r="AC53" i="35"/>
  <c r="O47" i="35" l="1"/>
  <c r="E48" i="31"/>
  <c r="G47" i="31"/>
  <c r="F47" i="31"/>
  <c r="P47" i="31"/>
  <c r="R46" i="31"/>
  <c r="Q46" i="31"/>
  <c r="I46" i="35"/>
  <c r="F55" i="41"/>
  <c r="H57" i="41"/>
  <c r="C56" i="41"/>
  <c r="D56" i="41" s="1"/>
  <c r="L54" i="41"/>
  <c r="N54" i="41"/>
  <c r="M54" i="41"/>
  <c r="AO57" i="35"/>
  <c r="AE56" i="35"/>
  <c r="AD56" i="35"/>
  <c r="AK55" i="35"/>
  <c r="AC54" i="35"/>
  <c r="AB54" i="35"/>
  <c r="O48" i="35" l="1"/>
  <c r="P48" i="31"/>
  <c r="Q47" i="31"/>
  <c r="R47" i="31"/>
  <c r="E49" i="31"/>
  <c r="G48" i="31"/>
  <c r="F48" i="31"/>
  <c r="I47" i="35"/>
  <c r="H58" i="41"/>
  <c r="C57" i="41"/>
  <c r="D57" i="41" s="1"/>
  <c r="M55" i="41"/>
  <c r="N55" i="41"/>
  <c r="L55" i="41"/>
  <c r="F56" i="41"/>
  <c r="J55" i="41"/>
  <c r="AO58" i="35"/>
  <c r="AD57" i="35"/>
  <c r="AE57" i="35"/>
  <c r="AK56" i="35"/>
  <c r="AB55" i="35"/>
  <c r="AC55" i="35"/>
  <c r="O49" i="35" l="1"/>
  <c r="E50" i="31"/>
  <c r="G49" i="31"/>
  <c r="F49" i="31"/>
  <c r="P49" i="31"/>
  <c r="Q48" i="31"/>
  <c r="R48" i="31"/>
  <c r="I48" i="35"/>
  <c r="F57" i="41"/>
  <c r="C58" i="41"/>
  <c r="D58" i="41" s="1"/>
  <c r="H59" i="41"/>
  <c r="L56" i="41"/>
  <c r="M56" i="41"/>
  <c r="M57" i="41" s="1"/>
  <c r="N56" i="41"/>
  <c r="J56" i="41"/>
  <c r="AO59" i="35"/>
  <c r="AE58" i="35"/>
  <c r="AD58" i="35"/>
  <c r="AK57" i="35"/>
  <c r="AC56" i="35"/>
  <c r="AB56" i="35"/>
  <c r="O50" i="35" l="1"/>
  <c r="P50" i="31"/>
  <c r="R49" i="31"/>
  <c r="Q49" i="31"/>
  <c r="E51" i="31"/>
  <c r="G50" i="31"/>
  <c r="F50" i="31"/>
  <c r="I49" i="35"/>
  <c r="F58" i="41"/>
  <c r="L57" i="41"/>
  <c r="N57" i="41"/>
  <c r="C59" i="41"/>
  <c r="D59" i="41" s="1"/>
  <c r="J57" i="41"/>
  <c r="AO60" i="35"/>
  <c r="AE59" i="35"/>
  <c r="AD59" i="35"/>
  <c r="AK58" i="35"/>
  <c r="AB57" i="35"/>
  <c r="AC57" i="35"/>
  <c r="O51" i="35" l="1"/>
  <c r="E52" i="31"/>
  <c r="G51" i="31"/>
  <c r="F51" i="31"/>
  <c r="P51" i="31"/>
  <c r="R50" i="31"/>
  <c r="Q50" i="31"/>
  <c r="I50" i="35"/>
  <c r="F59" i="41"/>
  <c r="L58" i="41"/>
  <c r="N58" i="41"/>
  <c r="N59" i="41" s="1"/>
  <c r="M58" i="41"/>
  <c r="M59" i="41" s="1"/>
  <c r="J58" i="41"/>
  <c r="AO61" i="35"/>
  <c r="AE60" i="35"/>
  <c r="AD60" i="35"/>
  <c r="AK59" i="35"/>
  <c r="AC58" i="35"/>
  <c r="AB58" i="35"/>
  <c r="O52" i="35" l="1"/>
  <c r="P52" i="31"/>
  <c r="Q51" i="31"/>
  <c r="R51" i="31"/>
  <c r="E53" i="31"/>
  <c r="G52" i="31"/>
  <c r="F52" i="31"/>
  <c r="I51" i="35"/>
  <c r="L59" i="41"/>
  <c r="J59" i="41"/>
  <c r="AO62" i="35"/>
  <c r="AD61" i="35"/>
  <c r="AE61" i="35"/>
  <c r="AK60" i="35"/>
  <c r="AC59" i="35"/>
  <c r="AB59" i="35"/>
  <c r="O53" i="35" l="1"/>
  <c r="E54" i="31"/>
  <c r="G53" i="31"/>
  <c r="F53" i="31"/>
  <c r="P53" i="31"/>
  <c r="Q52" i="31"/>
  <c r="R52" i="31"/>
  <c r="I52" i="35"/>
  <c r="AO63" i="35"/>
  <c r="AE62" i="35"/>
  <c r="AD62" i="35"/>
  <c r="AK61" i="35"/>
  <c r="AC60" i="35"/>
  <c r="AB60" i="35"/>
  <c r="O54" i="35" l="1"/>
  <c r="P54" i="31"/>
  <c r="R53" i="31"/>
  <c r="Q53" i="31"/>
  <c r="E55" i="31"/>
  <c r="G54" i="31"/>
  <c r="F54" i="31"/>
  <c r="I53" i="35"/>
  <c r="AO64" i="35"/>
  <c r="AE63" i="35"/>
  <c r="AD63" i="35"/>
  <c r="AK62" i="35"/>
  <c r="AB61" i="35"/>
  <c r="AC61" i="35"/>
  <c r="O55" i="35" l="1"/>
  <c r="E56" i="31"/>
  <c r="G55" i="31"/>
  <c r="F55" i="31"/>
  <c r="P55" i="31"/>
  <c r="R54" i="31"/>
  <c r="Q54" i="31"/>
  <c r="I54" i="35"/>
  <c r="AO65" i="35"/>
  <c r="AE64" i="35"/>
  <c r="AD64" i="35"/>
  <c r="AK63" i="35"/>
  <c r="AC62" i="35"/>
  <c r="AB62" i="35"/>
  <c r="O56" i="35" l="1"/>
  <c r="P56" i="31"/>
  <c r="Q55" i="31"/>
  <c r="R55" i="31"/>
  <c r="E57" i="31"/>
  <c r="G56" i="31"/>
  <c r="F56" i="31"/>
  <c r="I55" i="35"/>
  <c r="AO66" i="35"/>
  <c r="AD65" i="35"/>
  <c r="AE65" i="35"/>
  <c r="AK64" i="35"/>
  <c r="AB63" i="35"/>
  <c r="AC63" i="35"/>
  <c r="E58" i="31" l="1"/>
  <c r="G57" i="31"/>
  <c r="F57" i="31"/>
  <c r="P57" i="31"/>
  <c r="Q56" i="31"/>
  <c r="R56" i="31"/>
  <c r="I56" i="35"/>
  <c r="AO67" i="35"/>
  <c r="AE66" i="35"/>
  <c r="AD66" i="35"/>
  <c r="AK65" i="35"/>
  <c r="AC64" i="35"/>
  <c r="AB64" i="35"/>
  <c r="P58" i="31" l="1"/>
  <c r="R57" i="31"/>
  <c r="Q57" i="31"/>
  <c r="E59" i="31"/>
  <c r="G58" i="31"/>
  <c r="F58" i="31"/>
  <c r="AO68" i="35"/>
  <c r="AE67" i="35"/>
  <c r="AD67" i="35"/>
  <c r="AK66" i="35"/>
  <c r="AB65" i="35"/>
  <c r="AC65" i="35"/>
  <c r="E60" i="31" l="1"/>
  <c r="G59" i="31"/>
  <c r="F59" i="31"/>
  <c r="P59" i="31"/>
  <c r="R58" i="31"/>
  <c r="Q58" i="31"/>
  <c r="AO69" i="35"/>
  <c r="AE68" i="35"/>
  <c r="AD68" i="35"/>
  <c r="AK67" i="35"/>
  <c r="AC66" i="35"/>
  <c r="AB66" i="35"/>
  <c r="P60" i="31" l="1"/>
  <c r="Q59" i="31"/>
  <c r="R59" i="31"/>
  <c r="E61" i="31"/>
  <c r="G60" i="31"/>
  <c r="F60" i="31"/>
  <c r="AO70" i="35"/>
  <c r="AD69" i="35"/>
  <c r="AE69" i="35"/>
  <c r="AK68" i="35"/>
  <c r="AC67" i="35"/>
  <c r="AB67" i="35"/>
  <c r="E62" i="31" l="1"/>
  <c r="G61" i="31"/>
  <c r="F61" i="31"/>
  <c r="P61" i="31"/>
  <c r="Q60" i="31"/>
  <c r="R60" i="31"/>
  <c r="AO71" i="35"/>
  <c r="AE70" i="35"/>
  <c r="AD70" i="35"/>
  <c r="AK69" i="35"/>
  <c r="AB68" i="35"/>
  <c r="AC68" i="35"/>
  <c r="P62" i="31" l="1"/>
  <c r="R61" i="31"/>
  <c r="Q61" i="31"/>
  <c r="E63" i="31"/>
  <c r="G62" i="31"/>
  <c r="F62" i="31"/>
  <c r="AO72" i="35"/>
  <c r="AE71" i="35"/>
  <c r="AD71" i="35"/>
  <c r="AK70" i="35"/>
  <c r="AB69" i="35"/>
  <c r="AC69" i="35"/>
  <c r="E64" i="31" l="1"/>
  <c r="G63" i="31"/>
  <c r="F63" i="31"/>
  <c r="P63" i="31"/>
  <c r="R62" i="31"/>
  <c r="Q62" i="31"/>
  <c r="AO73" i="35"/>
  <c r="AE72" i="35"/>
  <c r="AD72" i="35"/>
  <c r="AK71" i="35"/>
  <c r="AC70" i="35"/>
  <c r="AB70" i="35"/>
  <c r="E65" i="31" l="1"/>
  <c r="G64" i="31"/>
  <c r="F64" i="31"/>
  <c r="P64" i="31"/>
  <c r="Q63" i="31"/>
  <c r="R63" i="31"/>
  <c r="AO74" i="35"/>
  <c r="AD73" i="35"/>
  <c r="AE73" i="35"/>
  <c r="AK72" i="35"/>
  <c r="AB71" i="35"/>
  <c r="AC71" i="35"/>
  <c r="P65" i="31" l="1"/>
  <c r="Q64" i="31"/>
  <c r="R64" i="31"/>
  <c r="E66" i="31"/>
  <c r="G65" i="31"/>
  <c r="F65" i="31"/>
  <c r="AO75" i="35"/>
  <c r="AE74" i="35"/>
  <c r="AD74" i="35"/>
  <c r="AK73" i="35"/>
  <c r="AC72" i="35"/>
  <c r="AB72" i="35"/>
  <c r="E67" i="31" l="1"/>
  <c r="G66" i="31"/>
  <c r="F66" i="31"/>
  <c r="P66" i="31"/>
  <c r="R65" i="31"/>
  <c r="Q65" i="31"/>
  <c r="AO76" i="35"/>
  <c r="AE75" i="35"/>
  <c r="AD75" i="35"/>
  <c r="AK74" i="35"/>
  <c r="AB73" i="35"/>
  <c r="AC73" i="35"/>
  <c r="P67" i="31" l="1"/>
  <c r="R66" i="31"/>
  <c r="Q66" i="31"/>
  <c r="E68" i="31"/>
  <c r="G67" i="31"/>
  <c r="F67" i="31"/>
  <c r="AO77" i="35"/>
  <c r="AE76" i="35"/>
  <c r="AD76" i="35"/>
  <c r="AK75" i="35"/>
  <c r="AC74" i="35"/>
  <c r="AB74" i="35"/>
  <c r="E69" i="31" l="1"/>
  <c r="G68" i="31"/>
  <c r="F68" i="31"/>
  <c r="P68" i="31"/>
  <c r="Q67" i="31"/>
  <c r="R67" i="31"/>
  <c r="AO78" i="35"/>
  <c r="AD77" i="35"/>
  <c r="AE77" i="35"/>
  <c r="AK76" i="35"/>
  <c r="AC75" i="35"/>
  <c r="AB75" i="35"/>
  <c r="P69" i="31" l="1"/>
  <c r="Q68" i="31"/>
  <c r="R68" i="31"/>
  <c r="E70" i="31"/>
  <c r="G69" i="31"/>
  <c r="F69" i="31"/>
  <c r="AO79" i="35"/>
  <c r="AE78" i="35"/>
  <c r="AD78" i="35"/>
  <c r="AK77" i="35"/>
  <c r="AC76" i="35"/>
  <c r="AB76" i="35"/>
  <c r="E71" i="31" l="1"/>
  <c r="G70" i="31"/>
  <c r="F70" i="31"/>
  <c r="P70" i="31"/>
  <c r="R69" i="31"/>
  <c r="Q69" i="31"/>
  <c r="AO80" i="35"/>
  <c r="AE79" i="35"/>
  <c r="AD79" i="35"/>
  <c r="AK78" i="35"/>
  <c r="AB77" i="35"/>
  <c r="AC77" i="35"/>
  <c r="P71" i="31" l="1"/>
  <c r="R70" i="31"/>
  <c r="Q70" i="31"/>
  <c r="E72" i="31"/>
  <c r="G71" i="31"/>
  <c r="F71" i="31"/>
  <c r="AO81" i="35"/>
  <c r="AE80" i="35"/>
  <c r="AD80" i="35"/>
  <c r="AK79" i="35"/>
  <c r="AC78" i="35"/>
  <c r="AB78" i="35"/>
  <c r="E73" i="31" l="1"/>
  <c r="G72" i="31"/>
  <c r="F72" i="31"/>
  <c r="P72" i="31"/>
  <c r="Q71" i="31"/>
  <c r="R71" i="31"/>
  <c r="AO82" i="35"/>
  <c r="AD81" i="35"/>
  <c r="AE81" i="35"/>
  <c r="AK80" i="35"/>
  <c r="AC79" i="35"/>
  <c r="AB79" i="35"/>
  <c r="P73" i="31" l="1"/>
  <c r="Q72" i="31"/>
  <c r="R72" i="31"/>
  <c r="E74" i="31"/>
  <c r="G73" i="31"/>
  <c r="F73" i="31"/>
  <c r="AO83" i="35"/>
  <c r="AE82" i="35"/>
  <c r="AD82" i="35"/>
  <c r="AK81" i="35"/>
  <c r="AB80" i="35"/>
  <c r="AC80" i="35"/>
  <c r="E75" i="31" l="1"/>
  <c r="G74" i="31"/>
  <c r="F74" i="31"/>
  <c r="P74" i="31"/>
  <c r="R73" i="31"/>
  <c r="Q73" i="31"/>
  <c r="AO84" i="35"/>
  <c r="AE83" i="35"/>
  <c r="AD83" i="35"/>
  <c r="AK82" i="35"/>
  <c r="AB81" i="35"/>
  <c r="AC81" i="35"/>
  <c r="P75" i="31" l="1"/>
  <c r="R74" i="31"/>
  <c r="Q74" i="31"/>
  <c r="E76" i="31"/>
  <c r="G75" i="31"/>
  <c r="F75" i="31"/>
  <c r="AO85" i="35"/>
  <c r="AE84" i="35"/>
  <c r="AD84" i="35"/>
  <c r="AK83" i="35"/>
  <c r="AC82" i="35"/>
  <c r="AB82" i="35"/>
  <c r="E77" i="31" l="1"/>
  <c r="G76" i="31"/>
  <c r="F76" i="31"/>
  <c r="P76" i="31"/>
  <c r="Q75" i="31"/>
  <c r="R75" i="31"/>
  <c r="AO86" i="35"/>
  <c r="AD85" i="35"/>
  <c r="AE85" i="35"/>
  <c r="AK84" i="35"/>
  <c r="AB83" i="35"/>
  <c r="AC83" i="35"/>
  <c r="P77" i="31" l="1"/>
  <c r="Q76" i="31"/>
  <c r="R76" i="31"/>
  <c r="E78" i="31"/>
  <c r="G77" i="31"/>
  <c r="F77" i="31"/>
  <c r="AO87" i="35"/>
  <c r="AE86" i="35"/>
  <c r="AD86" i="35"/>
  <c r="AK85" i="35"/>
  <c r="AC84" i="35"/>
  <c r="AB84" i="35"/>
  <c r="E79" i="31" l="1"/>
  <c r="G78" i="31"/>
  <c r="F78" i="31"/>
  <c r="P78" i="31"/>
  <c r="R77" i="31"/>
  <c r="Q77" i="31"/>
  <c r="AO88" i="35"/>
  <c r="AE87" i="35"/>
  <c r="AD87" i="35"/>
  <c r="AB85" i="35"/>
  <c r="AC85" i="35"/>
  <c r="AK86" i="35"/>
  <c r="P79" i="31" l="1"/>
  <c r="R78" i="31"/>
  <c r="Q78" i="31"/>
  <c r="E80" i="31"/>
  <c r="G79" i="31"/>
  <c r="F79" i="31"/>
  <c r="AO89" i="35"/>
  <c r="AE88" i="35"/>
  <c r="AD88" i="35"/>
  <c r="AK87" i="35"/>
  <c r="AC86" i="35"/>
  <c r="AB86" i="35"/>
  <c r="E81" i="31" l="1"/>
  <c r="G80" i="31"/>
  <c r="F80" i="31"/>
  <c r="P80" i="31"/>
  <c r="Q79" i="31"/>
  <c r="R79" i="31"/>
  <c r="AO90" i="35"/>
  <c r="AD89" i="35"/>
  <c r="AE89" i="35"/>
  <c r="AK88" i="35"/>
  <c r="AC87" i="35"/>
  <c r="AB87" i="35"/>
  <c r="P81" i="31" l="1"/>
  <c r="Q80" i="31"/>
  <c r="R80" i="31"/>
  <c r="E82" i="31"/>
  <c r="G81" i="31"/>
  <c r="F81" i="31"/>
  <c r="AO91" i="35"/>
  <c r="AE90" i="35"/>
  <c r="AD90" i="35"/>
  <c r="AK89" i="35"/>
  <c r="AB88" i="35"/>
  <c r="AC88" i="35"/>
  <c r="E83" i="31" l="1"/>
  <c r="G82" i="31"/>
  <c r="F82" i="31"/>
  <c r="P82" i="31"/>
  <c r="R81" i="31"/>
  <c r="Q81" i="31"/>
  <c r="AE91" i="35"/>
  <c r="AD91" i="35"/>
  <c r="AO92" i="35"/>
  <c r="AK90" i="35"/>
  <c r="AB89" i="35"/>
  <c r="AC89" i="35"/>
  <c r="P83" i="31" l="1"/>
  <c r="R82" i="31"/>
  <c r="Q82" i="31"/>
  <c r="E84" i="31"/>
  <c r="G83" i="31"/>
  <c r="F83" i="31"/>
  <c r="AO93" i="35"/>
  <c r="AE92" i="35"/>
  <c r="AD92" i="35"/>
  <c r="AK91" i="35"/>
  <c r="AC90" i="35"/>
  <c r="AB90" i="35"/>
  <c r="E85" i="31" l="1"/>
  <c r="G84" i="31"/>
  <c r="F84" i="31"/>
  <c r="P84" i="31"/>
  <c r="Q83" i="31"/>
  <c r="R83" i="31"/>
  <c r="AO94" i="35"/>
  <c r="AD93" i="35"/>
  <c r="AE93" i="35"/>
  <c r="AK92" i="35"/>
  <c r="AB91" i="35"/>
  <c r="AC91" i="35"/>
  <c r="P85" i="31" l="1"/>
  <c r="Q84" i="31"/>
  <c r="R84" i="31"/>
  <c r="E86" i="31"/>
  <c r="G85" i="31"/>
  <c r="F85" i="31"/>
  <c r="AO95" i="35"/>
  <c r="AO96" i="35" s="1"/>
  <c r="AE94" i="35"/>
  <c r="AD94" i="35"/>
  <c r="AK93" i="35"/>
  <c r="AC92" i="35"/>
  <c r="AB92" i="35"/>
  <c r="E87" i="31" l="1"/>
  <c r="G86" i="31"/>
  <c r="F86" i="31"/>
  <c r="P86" i="31"/>
  <c r="R85" i="31"/>
  <c r="Q85" i="31"/>
  <c r="AO97" i="35"/>
  <c r="AD96" i="35"/>
  <c r="AE95" i="35"/>
  <c r="AD95" i="35"/>
  <c r="AK94" i="35"/>
  <c r="AB93" i="35"/>
  <c r="AC93" i="35"/>
  <c r="P87" i="31" l="1"/>
  <c r="R86" i="31"/>
  <c r="Q86" i="31"/>
  <c r="E88" i="31"/>
  <c r="G87" i="31"/>
  <c r="F87" i="31"/>
  <c r="AO98" i="35"/>
  <c r="AE97" i="35"/>
  <c r="AD97" i="35"/>
  <c r="AE96" i="35"/>
  <c r="AK95" i="35"/>
  <c r="AC94" i="35"/>
  <c r="AB94" i="35"/>
  <c r="E89" i="31" l="1"/>
  <c r="G88" i="31"/>
  <c r="F88" i="31"/>
  <c r="P88" i="31"/>
  <c r="Q87" i="31"/>
  <c r="R87" i="31"/>
  <c r="AE98" i="35"/>
  <c r="AD98" i="35"/>
  <c r="AK96" i="35"/>
  <c r="AB96" i="35" s="1"/>
  <c r="AC95" i="35"/>
  <c r="AB95" i="35"/>
  <c r="P89" i="31" l="1"/>
  <c r="Q88" i="31"/>
  <c r="R88" i="31"/>
  <c r="E90" i="31"/>
  <c r="G89" i="31"/>
  <c r="F89" i="31"/>
  <c r="AE108" i="35"/>
  <c r="AE109" i="35"/>
  <c r="AE110" i="35"/>
  <c r="AD110" i="35"/>
  <c r="AD108" i="35"/>
  <c r="AD109" i="35"/>
  <c r="AK97" i="35"/>
  <c r="AC97" i="35" s="1"/>
  <c r="AC96" i="35"/>
  <c r="E91" i="31" l="1"/>
  <c r="G90" i="31"/>
  <c r="F90" i="31"/>
  <c r="P90" i="31"/>
  <c r="R89" i="31"/>
  <c r="Q89" i="31"/>
  <c r="AK98" i="35"/>
  <c r="AB97" i="35"/>
  <c r="P91" i="31" l="1"/>
  <c r="R90" i="31"/>
  <c r="Q90" i="31"/>
  <c r="E92" i="31"/>
  <c r="F91" i="31"/>
  <c r="G91" i="31"/>
  <c r="AK99" i="35"/>
  <c r="AC98" i="35"/>
  <c r="AB98" i="35"/>
  <c r="F92" i="31" l="1"/>
  <c r="E93" i="31"/>
  <c r="G92" i="31"/>
  <c r="P92" i="31"/>
  <c r="Q91" i="31"/>
  <c r="R91" i="31"/>
  <c r="AB110" i="35"/>
  <c r="AB109" i="35"/>
  <c r="AB108" i="35"/>
  <c r="AC109" i="35"/>
  <c r="AC108" i="35"/>
  <c r="AC110" i="35"/>
  <c r="G93" i="31" l="1"/>
  <c r="F93" i="31"/>
  <c r="E94" i="31"/>
  <c r="Q92" i="31"/>
  <c r="P93" i="31"/>
  <c r="R92" i="31"/>
  <c r="E95" i="31" l="1"/>
  <c r="E96" i="31" s="1"/>
  <c r="G94" i="31"/>
  <c r="F94" i="31"/>
  <c r="R93" i="31"/>
  <c r="Q93" i="31"/>
  <c r="P94" i="31"/>
  <c r="F96" i="31" l="1"/>
  <c r="G96" i="31"/>
  <c r="P95" i="31"/>
  <c r="P96" i="31" s="1"/>
  <c r="R94" i="31"/>
  <c r="Q94" i="31"/>
  <c r="G95" i="31"/>
  <c r="F95" i="31"/>
  <c r="AQ33" i="40"/>
  <c r="AQ34" i="40" s="1"/>
  <c r="AQ35" i="40" s="1"/>
  <c r="AQ36" i="40" s="1"/>
  <c r="AQ37" i="40" s="1"/>
  <c r="AQ38" i="40" s="1"/>
  <c r="AQ39" i="40" s="1"/>
  <c r="AQ40" i="40" s="1"/>
  <c r="AQ41" i="40" s="1"/>
  <c r="AQ42" i="40" s="1"/>
  <c r="AQ43" i="40" s="1"/>
  <c r="AQ44" i="40" s="1"/>
  <c r="AQ45" i="40" s="1"/>
  <c r="AQ46" i="40" s="1"/>
  <c r="AQ47" i="40" s="1"/>
  <c r="AQ48" i="40" s="1"/>
  <c r="AQ49" i="40" s="1"/>
  <c r="AQ50" i="40" s="1"/>
  <c r="AQ51" i="40" s="1"/>
  <c r="AQ52" i="40" s="1"/>
  <c r="AQ53" i="40" s="1"/>
  <c r="AQ54" i="40" s="1"/>
  <c r="AQ55" i="40" s="1"/>
  <c r="AQ56" i="40" s="1"/>
  <c r="AQ57" i="40" s="1"/>
  <c r="AQ58" i="40" s="1"/>
  <c r="AQ59" i="40" s="1"/>
  <c r="AQ60" i="40" s="1"/>
  <c r="AQ61" i="40" s="1"/>
  <c r="AQ62" i="40" s="1"/>
  <c r="Q96" i="31" l="1"/>
  <c r="R96" i="31"/>
  <c r="AC31" i="31"/>
  <c r="AC30" i="31"/>
  <c r="AC28" i="31"/>
  <c r="AB28" i="31" s="1"/>
  <c r="AA28" i="31" s="1"/>
  <c r="AC29" i="31"/>
  <c r="AC32" i="31"/>
  <c r="AB32" i="31" s="1"/>
  <c r="AA32" i="31" s="1"/>
  <c r="AC22" i="31"/>
  <c r="AC25" i="31"/>
  <c r="AB25" i="31" s="1"/>
  <c r="AC24" i="31"/>
  <c r="AC23" i="31"/>
  <c r="AC21" i="31"/>
  <c r="AB21" i="31" s="1"/>
  <c r="AC17" i="31"/>
  <c r="AB17" i="31" s="1"/>
  <c r="AA17" i="31" s="1"/>
  <c r="AC15" i="31"/>
  <c r="AC13" i="31"/>
  <c r="AB13" i="31" s="1"/>
  <c r="AA13" i="31" s="1"/>
  <c r="AC16" i="31"/>
  <c r="AC9" i="31"/>
  <c r="AB9" i="31" s="1"/>
  <c r="AA9" i="31" s="1"/>
  <c r="AC8" i="31"/>
  <c r="AC7" i="31"/>
  <c r="AC6" i="31"/>
  <c r="AC5" i="31"/>
  <c r="AB5" i="31" s="1"/>
  <c r="AA5" i="31" s="1"/>
  <c r="R95" i="31"/>
  <c r="Q95" i="31"/>
  <c r="M96" i="31" l="1"/>
  <c r="I96" i="31"/>
  <c r="K96" i="31"/>
  <c r="J96" i="31"/>
  <c r="H96" i="31"/>
  <c r="L96" i="31" s="1"/>
  <c r="AA25" i="31"/>
  <c r="AD25" i="31"/>
  <c r="AD32" i="31"/>
  <c r="AA21" i="31"/>
  <c r="AD28" i="31"/>
  <c r="AD21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I16" i="31"/>
  <c r="I20" i="31"/>
  <c r="I13" i="31"/>
  <c r="I19" i="31"/>
  <c r="I17" i="31"/>
  <c r="I21" i="31"/>
  <c r="I14" i="31"/>
  <c r="I18" i="31"/>
  <c r="I22" i="31"/>
  <c r="I15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M95" i="31"/>
  <c r="I95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H24" i="31"/>
  <c r="L24" i="31" s="1"/>
  <c r="H25" i="31"/>
  <c r="L25" i="31" s="1"/>
  <c r="H26" i="31"/>
  <c r="L26" i="31" s="1"/>
  <c r="H27" i="31"/>
  <c r="L27" i="31" s="1"/>
  <c r="H28" i="31"/>
  <c r="L28" i="31" s="1"/>
  <c r="H29" i="31"/>
  <c r="L29" i="31" s="1"/>
  <c r="H30" i="31"/>
  <c r="L30" i="31" s="1"/>
  <c r="H31" i="31"/>
  <c r="L31" i="31" s="1"/>
  <c r="H32" i="31"/>
  <c r="L32" i="31" s="1"/>
  <c r="H33" i="31"/>
  <c r="L33" i="31" s="1"/>
  <c r="H34" i="31"/>
  <c r="L34" i="31" s="1"/>
  <c r="H35" i="31"/>
  <c r="L35" i="31" s="1"/>
  <c r="H36" i="31"/>
  <c r="L36" i="31" s="1"/>
  <c r="H37" i="31"/>
  <c r="L37" i="31" s="1"/>
  <c r="H38" i="31"/>
  <c r="L38" i="31" s="1"/>
  <c r="H39" i="31"/>
  <c r="L39" i="31" s="1"/>
  <c r="H40" i="31"/>
  <c r="L40" i="31" s="1"/>
  <c r="H41" i="31"/>
  <c r="L41" i="31" s="1"/>
  <c r="H42" i="31"/>
  <c r="L42" i="31" s="1"/>
  <c r="H43" i="31"/>
  <c r="L43" i="31" s="1"/>
  <c r="H44" i="31"/>
  <c r="L44" i="31" s="1"/>
  <c r="H45" i="31"/>
  <c r="L45" i="31" s="1"/>
  <c r="H46" i="31"/>
  <c r="L46" i="31" s="1"/>
  <c r="H47" i="31"/>
  <c r="L47" i="31" s="1"/>
  <c r="H48" i="31"/>
  <c r="L48" i="31" s="1"/>
  <c r="H49" i="31"/>
  <c r="L49" i="31" s="1"/>
  <c r="H50" i="31"/>
  <c r="L50" i="31" s="1"/>
  <c r="H51" i="31"/>
  <c r="L51" i="31" s="1"/>
  <c r="H52" i="31"/>
  <c r="L52" i="31" s="1"/>
  <c r="H53" i="31"/>
  <c r="L53" i="31" s="1"/>
  <c r="H54" i="31"/>
  <c r="L54" i="31" s="1"/>
  <c r="H55" i="31"/>
  <c r="L55" i="31" s="1"/>
  <c r="H56" i="31"/>
  <c r="L56" i="31" s="1"/>
  <c r="H57" i="31"/>
  <c r="L57" i="31" s="1"/>
  <c r="H58" i="31"/>
  <c r="L58" i="31" s="1"/>
  <c r="H59" i="31"/>
  <c r="L59" i="31" s="1"/>
  <c r="H60" i="31"/>
  <c r="L60" i="31" s="1"/>
  <c r="H61" i="31"/>
  <c r="L61" i="31" s="1"/>
  <c r="H62" i="31"/>
  <c r="L62" i="31" s="1"/>
  <c r="H63" i="31"/>
  <c r="L63" i="31" s="1"/>
  <c r="H64" i="31"/>
  <c r="L64" i="31" s="1"/>
  <c r="H65" i="31"/>
  <c r="L65" i="31" s="1"/>
  <c r="H66" i="31"/>
  <c r="L66" i="31" s="1"/>
  <c r="H67" i="31"/>
  <c r="L67" i="31" s="1"/>
  <c r="H68" i="31"/>
  <c r="L68" i="31" s="1"/>
  <c r="H69" i="31"/>
  <c r="L69" i="31" s="1"/>
  <c r="H70" i="31"/>
  <c r="L70" i="31" s="1"/>
  <c r="H71" i="31"/>
  <c r="L71" i="31" s="1"/>
  <c r="H72" i="31"/>
  <c r="L72" i="31" s="1"/>
  <c r="H73" i="31"/>
  <c r="L73" i="31" s="1"/>
  <c r="H74" i="31"/>
  <c r="L74" i="31" s="1"/>
  <c r="H75" i="31"/>
  <c r="L75" i="31" s="1"/>
  <c r="H76" i="31"/>
  <c r="L76" i="31" s="1"/>
  <c r="H77" i="31"/>
  <c r="L77" i="31" s="1"/>
  <c r="H78" i="31"/>
  <c r="L78" i="31" s="1"/>
  <c r="H79" i="31"/>
  <c r="L79" i="31" s="1"/>
  <c r="H80" i="31"/>
  <c r="L80" i="31" s="1"/>
  <c r="H81" i="31"/>
  <c r="L81" i="31" s="1"/>
  <c r="H82" i="31"/>
  <c r="L82" i="31" s="1"/>
  <c r="H83" i="31"/>
  <c r="L83" i="31" s="1"/>
  <c r="H84" i="31"/>
  <c r="L84" i="31" s="1"/>
  <c r="H85" i="31"/>
  <c r="L85" i="31" s="1"/>
  <c r="H86" i="31"/>
  <c r="L86" i="31" s="1"/>
  <c r="H87" i="31"/>
  <c r="L87" i="31" s="1"/>
  <c r="H88" i="31"/>
  <c r="L88" i="31" s="1"/>
  <c r="H89" i="31"/>
  <c r="L89" i="31" s="1"/>
  <c r="H90" i="31"/>
  <c r="L90" i="31" s="1"/>
  <c r="H91" i="31"/>
  <c r="L91" i="31" s="1"/>
  <c r="H92" i="31"/>
  <c r="L92" i="31" s="1"/>
  <c r="H93" i="31"/>
  <c r="L93" i="31" s="1"/>
  <c r="H94" i="31"/>
  <c r="L94" i="31" s="1"/>
  <c r="H95" i="31"/>
  <c r="L95" i="31" s="1"/>
  <c r="K95" i="31"/>
  <c r="J95" i="31"/>
  <c r="K23" i="31"/>
  <c r="M23" i="31"/>
  <c r="J13" i="31"/>
  <c r="J14" i="31"/>
  <c r="J15" i="31"/>
  <c r="J16" i="31"/>
  <c r="J17" i="31"/>
  <c r="J18" i="31"/>
  <c r="J19" i="31"/>
  <c r="J20" i="31"/>
  <c r="J21" i="31"/>
  <c r="J22" i="31"/>
  <c r="J23" i="31"/>
  <c r="H13" i="31"/>
  <c r="H14" i="31"/>
  <c r="H15" i="31"/>
  <c r="H16" i="31"/>
  <c r="H17" i="31"/>
  <c r="H18" i="31"/>
  <c r="H19" i="31"/>
  <c r="H20" i="31"/>
  <c r="H21" i="31"/>
  <c r="H22" i="31"/>
  <c r="H23" i="31"/>
  <c r="L23" i="31" s="1"/>
  <c r="AF14" i="31"/>
  <c r="AF15" i="31"/>
  <c r="AC38" i="31" s="1"/>
  <c r="AF13" i="31"/>
  <c r="AF17" i="31"/>
  <c r="AF16" i="31"/>
  <c r="AC39" i="31" s="1"/>
  <c r="AF8" i="31"/>
  <c r="AD39" i="31" s="1"/>
  <c r="AF5" i="31"/>
  <c r="AF9" i="31"/>
  <c r="AF7" i="31"/>
  <c r="AF6" i="31"/>
  <c r="AE5" i="31" l="1"/>
  <c r="AD5" i="31" s="1"/>
  <c r="AD36" i="31"/>
  <c r="S95" i="31"/>
  <c r="AC37" i="31"/>
  <c r="AB22" i="31"/>
  <c r="AE13" i="31"/>
  <c r="AD13" i="31" s="1"/>
  <c r="AC36" i="31"/>
  <c r="V95" i="31"/>
  <c r="AD37" i="31"/>
  <c r="W95" i="31"/>
  <c r="AD38" i="31"/>
  <c r="AE9" i="31"/>
  <c r="AD9" i="31" s="1"/>
  <c r="AD40" i="31"/>
  <c r="AE17" i="31"/>
  <c r="AD17" i="31" s="1"/>
  <c r="AC40" i="31"/>
  <c r="U14" i="31"/>
  <c r="U13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AB23" i="31"/>
  <c r="U95" i="31"/>
  <c r="AB31" i="31"/>
  <c r="AA31" i="31" s="1"/>
  <c r="AB30" i="31"/>
  <c r="AA30" i="31" s="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S14" i="31"/>
  <c r="S13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V24" i="31"/>
  <c r="V23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X24" i="31"/>
  <c r="X23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AB29" i="31"/>
  <c r="AA29" i="31" s="1"/>
  <c r="AB24" i="31"/>
  <c r="X95" i="31"/>
  <c r="T95" i="31"/>
  <c r="AB7" i="31"/>
  <c r="AA7" i="31" s="1"/>
  <c r="AB6" i="31"/>
  <c r="AA6" i="31" s="1"/>
  <c r="AB16" i="31"/>
  <c r="AA16" i="31" s="1"/>
  <c r="AB15" i="31"/>
  <c r="AA15" i="31" s="1"/>
  <c r="AB14" i="31"/>
  <c r="AA14" i="31" s="1"/>
  <c r="AB8" i="31"/>
  <c r="AA8" i="31" s="1"/>
  <c r="AA24" i="31" l="1"/>
  <c r="AD31" i="31"/>
  <c r="AD24" i="31"/>
  <c r="AA23" i="31"/>
  <c r="AD23" i="31"/>
  <c r="AD30" i="31"/>
  <c r="AA22" i="31"/>
  <c r="AD29" i="31"/>
  <c r="AD22" i="31"/>
  <c r="AE15" i="31"/>
  <c r="AD15" i="31" s="1"/>
  <c r="AE6" i="31"/>
  <c r="AD6" i="31" s="1"/>
  <c r="AE7" i="31"/>
  <c r="AD7" i="31" s="1"/>
  <c r="AE16" i="31"/>
  <c r="AD16" i="31" s="1"/>
  <c r="AE8" i="31"/>
  <c r="AD8" i="31" s="1"/>
  <c r="AE14" i="31"/>
  <c r="AD14" i="31" s="1"/>
</calcChain>
</file>

<file path=xl/sharedStrings.xml><?xml version="1.0" encoding="utf-8"?>
<sst xmlns="http://schemas.openxmlformats.org/spreadsheetml/2006/main" count="6884" uniqueCount="3713">
  <si>
    <t>Monthly</t>
  </si>
  <si>
    <t>Return</t>
  </si>
  <si>
    <t>Value</t>
  </si>
  <si>
    <t>Years</t>
  </si>
  <si>
    <t>Loan Balance</t>
  </si>
  <si>
    <t>Year</t>
  </si>
  <si>
    <t>Loan Interest Rate:</t>
  </si>
  <si>
    <t>Property Appreciation:</t>
  </si>
  <si>
    <t>Rent</t>
  </si>
  <si>
    <t>Property Tax:</t>
  </si>
  <si>
    <t>Current Property Price:</t>
  </si>
  <si>
    <t>Property Value</t>
  </si>
  <si>
    <t>Selling Cost:</t>
  </si>
  <si>
    <t>Monthly Rent Income:</t>
  </si>
  <si>
    <t>Mortgage Montly Payment:</t>
  </si>
  <si>
    <t>Years to Pay Off Loan:</t>
  </si>
  <si>
    <t>Loan Balance:</t>
  </si>
  <si>
    <t>Yearly Maintain Cost*</t>
  </si>
  <si>
    <t>Interest rate</t>
  </si>
  <si>
    <t>Term (years)</t>
  </si>
  <si>
    <t>Monthly payment</t>
  </si>
  <si>
    <t>Monthly addition</t>
  </si>
  <si>
    <t>Investment return</t>
  </si>
  <si>
    <t>B: Pay additional to accelerate pay off the mortgage</t>
  </si>
  <si>
    <t>A</t>
  </si>
  <si>
    <t>B</t>
  </si>
  <si>
    <t>A: Invest monthly addition</t>
  </si>
  <si>
    <t>A-B</t>
  </si>
  <si>
    <t>Not include tax saving</t>
  </si>
  <si>
    <t>Total A-B</t>
  </si>
  <si>
    <t>(invest + tax saving)</t>
  </si>
  <si>
    <t>Tax Saving on Interest</t>
  </si>
  <si>
    <t>Should You Accelerate To Pay Off Mortgage</t>
  </si>
  <si>
    <t>A: Monthly scheduled payment only, invest additions</t>
  </si>
  <si>
    <t>Invest A-B</t>
  </si>
  <si>
    <t>A Tale of Two Brothers</t>
  </si>
  <si>
    <t>change the green cells for illustration</t>
  </si>
  <si>
    <t>Our story begins with two brothers, both earn $70K per year</t>
  </si>
  <si>
    <t>Each is buying a hourse of a value of:</t>
  </si>
  <si>
    <t>Eash has available down payment:</t>
  </si>
  <si>
    <t>Each tax bracket (Fed + State) is:</t>
  </si>
  <si>
    <t>Brother A</t>
  </si>
  <si>
    <t>Brother B</t>
  </si>
  <si>
    <t>Believes "The Old Way" ---Paying Off Mortgage As Soon As Possible</t>
  </si>
  <si>
    <t>Believes "The New Way"---Carring a big, long mortgage and invest the cash flow surplus</t>
  </si>
  <si>
    <t>years Mortgage</t>
  </si>
  <si>
    <t>interest rate</t>
  </si>
  <si>
    <t>interest rate (ARM/FIXED)</t>
  </si>
  <si>
    <t>big down payment</t>
  </si>
  <si>
    <t>down payment</t>
  </si>
  <si>
    <t>left to invest</t>
  </si>
  <si>
    <t>monthly payment</t>
  </si>
  <si>
    <t>monthly additional payment to accelerate paying off mortgage</t>
  </si>
  <si>
    <t>monthly investment (payment difference and additions)</t>
  </si>
  <si>
    <t>Who made the right decision?</t>
  </si>
  <si>
    <t>After 5 Years</t>
  </si>
  <si>
    <t>Received tax saving:</t>
  </si>
  <si>
    <t>Investment</t>
  </si>
  <si>
    <t>Investment return:</t>
  </si>
  <si>
    <t>Equity in house:</t>
  </si>
  <si>
    <t>--- Has no savings to get through the crisis</t>
  </si>
  <si>
    <t>in savings helps to tide him over</t>
  </si>
  <si>
    <t>--- No need a loan</t>
  </si>
  <si>
    <t>How ironic:  Brother “A”, who never wanted a mortgage in the first place, is now in financial jeopardy because he was trying to get rid of his loan too quickly!</t>
  </si>
  <si>
    <t>After 15 Years</t>
  </si>
  <si>
    <t>Remain mortgage balance:</t>
  </si>
  <si>
    <t>Pay off the mortgage and has cash:</t>
  </si>
  <si>
    <t>Can pay off the mortgage and still has cash:</t>
  </si>
  <si>
    <t>After paying off the mortgage, invest the monthly payment</t>
  </si>
  <si>
    <t>Invest the monthly difference and additions from year 1</t>
  </si>
  <si>
    <t>"The New Way" will make brother B more in savings and investing:</t>
  </si>
  <si>
    <t>After 30 Years</t>
  </si>
  <si>
    <t>Monthly Input</t>
  </si>
  <si>
    <t>Stocks</t>
  </si>
  <si>
    <t>T.Bills</t>
  </si>
  <si>
    <t>T.Bonds</t>
  </si>
  <si>
    <t>Compounded Value of</t>
  </si>
  <si>
    <t>Year 16-30: Both Stop Investment, Brother B withdraw money from Investment account to pay mortgage</t>
  </si>
  <si>
    <t>Apply historical stock return, put starting year</t>
  </si>
  <si>
    <t>Annual Returns on Investments</t>
  </si>
  <si>
    <t>Tax bracket</t>
  </si>
  <si>
    <t>yrs</t>
  </si>
  <si>
    <t>What if both brothers suddenly lose their jobs?</t>
  </si>
  <si>
    <t>Average return</t>
  </si>
  <si>
    <t>SP500</t>
  </si>
  <si>
    <t>GIUL</t>
  </si>
  <si>
    <t>Average</t>
  </si>
  <si>
    <t>year</t>
  </si>
  <si>
    <t>20Y ave%</t>
  </si>
  <si>
    <t>%</t>
  </si>
  <si>
    <t>Acc. Value</t>
  </si>
  <si>
    <t>SP 500</t>
  </si>
  <si>
    <t xml:space="preserve">SP500 </t>
  </si>
  <si>
    <t>AV</t>
  </si>
  <si>
    <t>10Y ave%</t>
  </si>
  <si>
    <t>Fixed Return</t>
  </si>
  <si>
    <t>Initial AV</t>
  </si>
  <si>
    <t>Min</t>
  </si>
  <si>
    <t>Max</t>
  </si>
  <si>
    <t>20 years</t>
  </si>
  <si>
    <t>10 years</t>
  </si>
  <si>
    <t>Family</t>
  </si>
  <si>
    <t>Fund Name</t>
  </si>
  <si>
    <t>Net Assets ($MM)</t>
  </si>
  <si>
    <t>Rtn 20 Yr Load Qtr End</t>
  </si>
  <si>
    <t>Return 20 Yr</t>
  </si>
  <si>
    <t>1$ =&gt;</t>
  </si>
  <si>
    <t xml:space="preserve">Shelton Greater China Fund              </t>
  </si>
  <si>
    <t xml:space="preserve">Shelton Greater China Fund         </t>
  </si>
  <si>
    <t>&lt;==(1+F2/100)^20</t>
  </si>
  <si>
    <t xml:space="preserve">Commonwealth Funds                      </t>
  </si>
  <si>
    <t xml:space="preserve">Commonwealth Japan                 </t>
  </si>
  <si>
    <t xml:space="preserve">AIG Funds                               </t>
  </si>
  <si>
    <t xml:space="preserve">AIG Intl Dividend Strat C          </t>
  </si>
  <si>
    <t xml:space="preserve">Guggenheim Investments Funds            </t>
  </si>
  <si>
    <t xml:space="preserve">Rydex Precious Metal Investor      </t>
  </si>
  <si>
    <t>20Y</t>
  </si>
  <si>
    <t xml:space="preserve">AIG Intl Dividend Strat A          </t>
  </si>
  <si>
    <t xml:space="preserve">Pioneer Investments                     </t>
  </si>
  <si>
    <t xml:space="preserve">Pioneer International Equity C     </t>
  </si>
  <si>
    <t xml:space="preserve">Saratoga Advantage Trust                </t>
  </si>
  <si>
    <t xml:space="preserve">Saratoga Adv Tr Intl Equity I      </t>
  </si>
  <si>
    <t xml:space="preserve">Fidelity Select Funds                   </t>
  </si>
  <si>
    <t xml:space="preserve">Fidelity Select Consumer Finance   </t>
  </si>
  <si>
    <t xml:space="preserve">Calvert Group                           </t>
  </si>
  <si>
    <t xml:space="preserve">Calvert International Equity C     </t>
  </si>
  <si>
    <t xml:space="preserve">Harbor Funds                            </t>
  </si>
  <si>
    <t xml:space="preserve">Harbor International Growth Inv    </t>
  </si>
  <si>
    <t xml:space="preserve">Sit Mutual Funds                        </t>
  </si>
  <si>
    <t xml:space="preserve">Sit International Growth Fund      </t>
  </si>
  <si>
    <t xml:space="preserve">Harbor International Growth Admin  </t>
  </si>
  <si>
    <t xml:space="preserve">US Global Investors Funds               </t>
  </si>
  <si>
    <t xml:space="preserve">US Global Inv Gold &amp; PMetals Fd    </t>
  </si>
  <si>
    <t xml:space="preserve">Legg Mason Partners Funds               </t>
  </si>
  <si>
    <t xml:space="preserve">ClearBridge International Value C  </t>
  </si>
  <si>
    <t xml:space="preserve">Pioneer International Equity A     </t>
  </si>
  <si>
    <t xml:space="preserve">Harbor International Growth Inst   </t>
  </si>
  <si>
    <t xml:space="preserve">Pioneer International Equity Y     </t>
  </si>
  <si>
    <t xml:space="preserve">American Century Investment Funds       </t>
  </si>
  <si>
    <t xml:space="preserve">American Century Global Gold C     </t>
  </si>
  <si>
    <t xml:space="preserve">Calvert International Equity A     </t>
  </si>
  <si>
    <t xml:space="preserve">Guinness Atkinson Funds                 </t>
  </si>
  <si>
    <t xml:space="preserve">Guinness Atkinson Asia Focus       </t>
  </si>
  <si>
    <t xml:space="preserve">UTC North American Fund                 </t>
  </si>
  <si>
    <t xml:space="preserve">UTC North American Fund            </t>
  </si>
  <si>
    <t xml:space="preserve">Calvert International Equity Y     </t>
  </si>
  <si>
    <t xml:space="preserve">Invesco Investments Funds               </t>
  </si>
  <si>
    <t xml:space="preserve">Invesco Pacific Growth B           </t>
  </si>
  <si>
    <t xml:space="preserve">Legg Mason Funds                        </t>
  </si>
  <si>
    <t xml:space="preserve">QS International Eq R              </t>
  </si>
  <si>
    <t xml:space="preserve">US Global Inv World Prec Min       </t>
  </si>
  <si>
    <t xml:space="preserve">Invesco Pacific Growth C           </t>
  </si>
  <si>
    <t>-</t>
  </si>
  <si>
    <t xml:space="preserve">Fidelity Investments                    </t>
  </si>
  <si>
    <t xml:space="preserve">Fidelity Adv Japan C               </t>
  </si>
  <si>
    <t xml:space="preserve">ClearBridge International Value A  </t>
  </si>
  <si>
    <t xml:space="preserve">US Global Inv China Region Opport  </t>
  </si>
  <si>
    <t xml:space="preserve">American Century Global Gold R     </t>
  </si>
  <si>
    <t xml:space="preserve">Ivy Funds                               </t>
  </si>
  <si>
    <t xml:space="preserve">Ivy Global Growth B                </t>
  </si>
  <si>
    <t xml:space="preserve">Invesco Gold and Precious Mtls Iv  </t>
  </si>
  <si>
    <t xml:space="preserve">Ivy Global Growth C                </t>
  </si>
  <si>
    <t xml:space="preserve">Deutsche Funds                          </t>
  </si>
  <si>
    <t xml:space="preserve">Deutsche CROCI International C     </t>
  </si>
  <si>
    <t xml:space="preserve">Goldman Sachs Funds                     </t>
  </si>
  <si>
    <t>Goldman Sachs Focused Intl Eqty Svc</t>
  </si>
  <si>
    <t xml:space="preserve">Goldman Sachs Focused Intl Eqty A  </t>
  </si>
  <si>
    <t xml:space="preserve">Invesco Gold and Precious Mtls Y   </t>
  </si>
  <si>
    <t xml:space="preserve">Touchstone Funds                        </t>
  </si>
  <si>
    <t xml:space="preserve">Touchstone Internatl Value C       </t>
  </si>
  <si>
    <t xml:space="preserve">Wright Funds                            </t>
  </si>
  <si>
    <t xml:space="preserve">Wright Intl Blue Chip Equities     </t>
  </si>
  <si>
    <t xml:space="preserve">American Century Global Gold A     </t>
  </si>
  <si>
    <t xml:space="preserve">QS International Eq C              </t>
  </si>
  <si>
    <t xml:space="preserve">Deutsche Gold &amp; Prec Metals Fund C </t>
  </si>
  <si>
    <t xml:space="preserve">Fidelity Advisor                        </t>
  </si>
  <si>
    <t xml:space="preserve">Fidelity Adv Gold C                </t>
  </si>
  <si>
    <t xml:space="preserve">Fidelity Adv Japan M               </t>
  </si>
  <si>
    <t xml:space="preserve">Columbia Threadneedle Investments       </t>
  </si>
  <si>
    <t xml:space="preserve">Columbia Select Intl Eqty B        </t>
  </si>
  <si>
    <t xml:space="preserve">Jacob Funds                             </t>
  </si>
  <si>
    <t xml:space="preserve">Jacob Small Cap Growth Inst        </t>
  </si>
  <si>
    <t xml:space="preserve">Columbia Select Intl Eqty C        </t>
  </si>
  <si>
    <t xml:space="preserve">Fidelity Adv Japan A               </t>
  </si>
  <si>
    <t xml:space="preserve">Vanguard Funds                          </t>
  </si>
  <si>
    <t xml:space="preserve">Vanguard Pacific Stock Index Inv   </t>
  </si>
  <si>
    <t xml:space="preserve">American Century Global Gold Inv   </t>
  </si>
  <si>
    <t xml:space="preserve">T. Rowe Price Funds                     </t>
  </si>
  <si>
    <t xml:space="preserve">T Rowe Price Japan                 </t>
  </si>
  <si>
    <t xml:space="preserve">Deutsche Emerging Markets Eqty C   </t>
  </si>
  <si>
    <t xml:space="preserve">Goldman Sachs Asia Equity A        </t>
  </si>
  <si>
    <t xml:space="preserve">Invesco Pacific Growth A           </t>
  </si>
  <si>
    <t xml:space="preserve">SEI Financial Management Corp           </t>
  </si>
  <si>
    <t xml:space="preserve">SEI Inst Intl International Eqty F </t>
  </si>
  <si>
    <t xml:space="preserve">GMO Funds                               </t>
  </si>
  <si>
    <t xml:space="preserve">GMO Alpha Only III                 </t>
  </si>
  <si>
    <t xml:space="preserve">American Century Global Gold I     </t>
  </si>
  <si>
    <t xml:space="preserve">Icon Funds                              </t>
  </si>
  <si>
    <t xml:space="preserve">ICON Emerging Markets S            </t>
  </si>
  <si>
    <t xml:space="preserve">QS International Eq A              </t>
  </si>
  <si>
    <t xml:space="preserve">Mellon Funds                            </t>
  </si>
  <si>
    <t>BNY Mellon International App Fd Inv</t>
  </si>
  <si>
    <t xml:space="preserve">Invesco Pacific Growth R5          </t>
  </si>
  <si>
    <t xml:space="preserve">Goldman Sachs Focused Intl Eqty I  </t>
  </si>
  <si>
    <t xml:space="preserve">Fidelity Adv Gold M                </t>
  </si>
  <si>
    <t xml:space="preserve">Invesco Pacific Growth Y           </t>
  </si>
  <si>
    <t xml:space="preserve">QS International Eq FI             </t>
  </si>
  <si>
    <t xml:space="preserve">Fidelity Adv Gold A                </t>
  </si>
  <si>
    <t xml:space="preserve">VALIC Company International Eq Idx </t>
  </si>
  <si>
    <t xml:space="preserve">American Century Intl Value C      </t>
  </si>
  <si>
    <t xml:space="preserve">JPMorgan Funds                          </t>
  </si>
  <si>
    <t xml:space="preserve">JPMorgan Intl Opps C               </t>
  </si>
  <si>
    <t xml:space="preserve">BNY Mellon International App Fd M  </t>
  </si>
  <si>
    <t xml:space="preserve">Putnam Funds                            </t>
  </si>
  <si>
    <t xml:space="preserve">Putnam Global Natural Resources B  </t>
  </si>
  <si>
    <t xml:space="preserve">Putnam Global Natural Resources C  </t>
  </si>
  <si>
    <t xml:space="preserve">Columbia Select Intl Eqty R        </t>
  </si>
  <si>
    <t xml:space="preserve">Fidelity Japan Fund                </t>
  </si>
  <si>
    <t xml:space="preserve">Old Westbury Funds                      </t>
  </si>
  <si>
    <t xml:space="preserve">Old Westbury Large Cap Strategies  </t>
  </si>
  <si>
    <t xml:space="preserve">Fidelity Adv Japan I               </t>
  </si>
  <si>
    <t xml:space="preserve">Deutsche CROCI International A     </t>
  </si>
  <si>
    <t xml:space="preserve">Columbia Pacific/Asia C            </t>
  </si>
  <si>
    <t xml:space="preserve">World Funds                             </t>
  </si>
  <si>
    <t xml:space="preserve">Global Strategic Income A          </t>
  </si>
  <si>
    <t xml:space="preserve">Touchstone Internatl Value A       </t>
  </si>
  <si>
    <t xml:space="preserve">Gabelli Funds LLC                       </t>
  </si>
  <si>
    <t xml:space="preserve">Gabelli Global Rising Inc &amp; Div C  </t>
  </si>
  <si>
    <t xml:space="preserve">US Global Inv All American Equity  </t>
  </si>
  <si>
    <t xml:space="preserve">Sit Developing Mkts Growth Fund    </t>
  </si>
  <si>
    <t xml:space="preserve">Goldman Sachs Asia Equity Inst     </t>
  </si>
  <si>
    <t xml:space="preserve">JPMorgan International Value C     </t>
  </si>
  <si>
    <t xml:space="preserve">Deutsche Gold &amp; Prec Metals Fund A </t>
  </si>
  <si>
    <t xml:space="preserve">Ivy Global Growth A                </t>
  </si>
  <si>
    <t xml:space="preserve">Alger Funds                             </t>
  </si>
  <si>
    <t xml:space="preserve">Alger Small Cap Growth Fund B      </t>
  </si>
  <si>
    <t xml:space="preserve">Fidelity Adv Overseas Fund C       </t>
  </si>
  <si>
    <t xml:space="preserve">QS International Eq A2             </t>
  </si>
  <si>
    <t xml:space="preserve">Pioneer Emerging Markets C         </t>
  </si>
  <si>
    <t xml:space="preserve">Putnam Global Natural Resources M  </t>
  </si>
  <si>
    <t xml:space="preserve">Columbia Select Intl Eqty T        </t>
  </si>
  <si>
    <t xml:space="preserve">Alliance Bernstein Funds                </t>
  </si>
  <si>
    <t xml:space="preserve">AB Sustainable Global Thematic B   </t>
  </si>
  <si>
    <t xml:space="preserve">Staar Investment Trust                  </t>
  </si>
  <si>
    <t xml:space="preserve">STAAR AltCat                       </t>
  </si>
  <si>
    <t xml:space="preserve">USAA Group                              </t>
  </si>
  <si>
    <t xml:space="preserve">USAA Growth Fund                   </t>
  </si>
  <si>
    <t xml:space="preserve">AB Sustainable Global Thematic C   </t>
  </si>
  <si>
    <t xml:space="preserve">Columbia Select Intl Eqty A        </t>
  </si>
  <si>
    <t xml:space="preserve">STAAR Inv Trust Lg Comp Stock Fund </t>
  </si>
  <si>
    <t xml:space="preserve">Touchstone Internatl Value Y       </t>
  </si>
  <si>
    <t xml:space="preserve">JPMorgan Intl Opps A               </t>
  </si>
  <si>
    <t xml:space="preserve">Eaton Vance Funds                       </t>
  </si>
  <si>
    <t xml:space="preserve">Eaton Vance Greater China Gr C     </t>
  </si>
  <si>
    <t xml:space="preserve">Putnam Global Natural Resources R  </t>
  </si>
  <si>
    <t xml:space="preserve">Ivy Emerging Markets Equity B      </t>
  </si>
  <si>
    <t xml:space="preserve">Alger International Growth B       </t>
  </si>
  <si>
    <t xml:space="preserve">Deutsche CROCI International S     </t>
  </si>
  <si>
    <t xml:space="preserve">Fidelity Adv Financial Serv C      </t>
  </si>
  <si>
    <t xml:space="preserve">Fidelity Select Envir and Alt Ener </t>
  </si>
  <si>
    <t xml:space="preserve">Ivy Global Growth I                </t>
  </si>
  <si>
    <t xml:space="preserve">Deutsche Gold &amp; Prec Metals Fund S </t>
  </si>
  <si>
    <t xml:space="preserve">Fidelity Adv Divers Stk C          </t>
  </si>
  <si>
    <t xml:space="preserve">Franklin Templeton Investments          </t>
  </si>
  <si>
    <t xml:space="preserve">Templeton Developing Markets C     </t>
  </si>
  <si>
    <t xml:space="preserve">QS International Eq I              </t>
  </si>
  <si>
    <t xml:space="preserve">Deutsche Gold &amp; Prec Metals Fund I </t>
  </si>
  <si>
    <t xml:space="preserve">Ivy Global Growth N                </t>
  </si>
  <si>
    <t xml:space="preserve">American Century Intl Value R      </t>
  </si>
  <si>
    <t xml:space="preserve">Deutsche Emerging Markets Eqty A   </t>
  </si>
  <si>
    <t xml:space="preserve">Fidelity Select Gold               </t>
  </si>
  <si>
    <t xml:space="preserve">BlackRock Funds                         </t>
  </si>
  <si>
    <t xml:space="preserve">BlackRock Emerg Mkt Inv C          </t>
  </si>
  <si>
    <t xml:space="preserve">Columbia Select Intl Eqty K        </t>
  </si>
  <si>
    <t xml:space="preserve">Bernstein Funds                         </t>
  </si>
  <si>
    <t xml:space="preserve">Sanford Bernstein T/M Intl         </t>
  </si>
  <si>
    <t xml:space="preserve">Fidelity Adv Gold I                </t>
  </si>
  <si>
    <t xml:space="preserve">Putnam Global Utilities Fund B     </t>
  </si>
  <si>
    <t xml:space="preserve">Putnam Global Utilities Fund C     </t>
  </si>
  <si>
    <t xml:space="preserve">Putnam International Value B       </t>
  </si>
  <si>
    <t xml:space="preserve">Victory Funds                           </t>
  </si>
  <si>
    <t xml:space="preserve">Victory RS International A         </t>
  </si>
  <si>
    <t xml:space="preserve">Columbia Select Intl Eqty R4       </t>
  </si>
  <si>
    <t xml:space="preserve">Columbia Select Intl Eqty Z        </t>
  </si>
  <si>
    <t xml:space="preserve">Putnam International Value C       </t>
  </si>
  <si>
    <t xml:space="preserve">T Rowe Price Intl Stock R          </t>
  </si>
  <si>
    <t xml:space="preserve">Dreyfus Funds                           </t>
  </si>
  <si>
    <t xml:space="preserve">Dreyfus Intl Stock Index Inv       </t>
  </si>
  <si>
    <t xml:space="preserve">MainStay Funds                          </t>
  </si>
  <si>
    <t xml:space="preserve">MainStay Intl Equity B             </t>
  </si>
  <si>
    <t xml:space="preserve">MainStay Intl Equity C             </t>
  </si>
  <si>
    <t xml:space="preserve">Putnam International Growth B      </t>
  </si>
  <si>
    <t xml:space="preserve">Putnam International Growth C      </t>
  </si>
  <si>
    <t xml:space="preserve">Nationwide Funds                        </t>
  </si>
  <si>
    <t xml:space="preserve">Nationwide Growth R6               </t>
  </si>
  <si>
    <t xml:space="preserve">SEI Inst Intl Emerging Mkts Eqty F </t>
  </si>
  <si>
    <t xml:space="preserve">Columbia Select Intl Eqty R5       </t>
  </si>
  <si>
    <t xml:space="preserve">Prudential-Target Funds                 </t>
  </si>
  <si>
    <t xml:space="preserve">Target International Equity R      </t>
  </si>
  <si>
    <t xml:space="preserve">Columbia Select Intl Eqty Y        </t>
  </si>
  <si>
    <t xml:space="preserve">Saratoga Adv Tr Large Cap Value I  </t>
  </si>
  <si>
    <t xml:space="preserve">JPMorgan International Value A     </t>
  </si>
  <si>
    <t xml:space="preserve">JPMorgan Intl Opps I               </t>
  </si>
  <si>
    <t xml:space="preserve">Dreyfus Premier Funds                   </t>
  </si>
  <si>
    <t xml:space="preserve">Dreyfus Sustainable US Equity C    </t>
  </si>
  <si>
    <t xml:space="preserve">Ivy Emerging Markets Equity C      </t>
  </si>
  <si>
    <t xml:space="preserve">Victory RS International Y         </t>
  </si>
  <si>
    <t xml:space="preserve">Macquarie Investment Management         </t>
  </si>
  <si>
    <t xml:space="preserve">Delaware Intl Value Equity C       </t>
  </si>
  <si>
    <t xml:space="preserve">Morgan Stanley Funds                    </t>
  </si>
  <si>
    <t xml:space="preserve">Morgan Stanley European Eq L       </t>
  </si>
  <si>
    <t xml:space="preserve">UBS Asset Management                    </t>
  </si>
  <si>
    <t xml:space="preserve">PACE Intrntl Eq Inve P             </t>
  </si>
  <si>
    <t xml:space="preserve">Columbia Select Global Equity C    </t>
  </si>
  <si>
    <t xml:space="preserve">US Global Inv Global Resources     </t>
  </si>
  <si>
    <t xml:space="preserve">BlackRock Energy &amp; Resources Inv B </t>
  </si>
  <si>
    <t xml:space="preserve">BlackRock Energy &amp; Resources Inv C </t>
  </si>
  <si>
    <t xml:space="preserve">Waddell &amp; Reed Funds                    </t>
  </si>
  <si>
    <t xml:space="preserve">Waddell &amp; Reed Adv Glbl Growth B   </t>
  </si>
  <si>
    <t xml:space="preserve">Russell Funds                           </t>
  </si>
  <si>
    <t xml:space="preserve">Russell Investments Int Dev Mkt E  </t>
  </si>
  <si>
    <t xml:space="preserve">UBS Internatl Sustainable Equity A </t>
  </si>
  <si>
    <t xml:space="preserve">American Century Intl Value A      </t>
  </si>
  <si>
    <t xml:space="preserve">Columbia Select Global Equity B    </t>
  </si>
  <si>
    <t xml:space="preserve">Deutsche Emerging Markets Eqty S   </t>
  </si>
  <si>
    <t xml:space="preserve">Virtus Funds                            </t>
  </si>
  <si>
    <t xml:space="preserve">Virtus WCM International Equity A  </t>
  </si>
  <si>
    <t xml:space="preserve">Deutsche Communication C           </t>
  </si>
  <si>
    <t xml:space="preserve">Goldman Sachs Equity Income Svc    </t>
  </si>
  <si>
    <t>Deutsche Emerging Markets Eqty Inst</t>
  </si>
  <si>
    <t xml:space="preserve">Putnam Global Natural Resources A  </t>
  </si>
  <si>
    <t xml:space="preserve">Putnam Global Utilities Fund M     </t>
  </si>
  <si>
    <t xml:space="preserve">Putnam International Value M       </t>
  </si>
  <si>
    <t xml:space="preserve">USAA Emerging Markets Fund         </t>
  </si>
  <si>
    <t xml:space="preserve">JPMorgan International Value I     </t>
  </si>
  <si>
    <t xml:space="preserve">OppenheimerFunds                        </t>
  </si>
  <si>
    <t xml:space="preserve">Oppenheimer International Equity B </t>
  </si>
  <si>
    <t xml:space="preserve">Putnam International Growth M      </t>
  </si>
  <si>
    <t xml:space="preserve">Deutsche EAFE Equity Index Inst    </t>
  </si>
  <si>
    <t xml:space="preserve">Oppenheimer International Equity C </t>
  </si>
  <si>
    <t xml:space="preserve">Wells Fargo Advantage Funds             </t>
  </si>
  <si>
    <t xml:space="preserve">Wells Fargo Intl Equity C          </t>
  </si>
  <si>
    <t xml:space="preserve">American Century Intl Gr C         </t>
  </si>
  <si>
    <t xml:space="preserve">Fidelity Adv Overseas Fund M       </t>
  </si>
  <si>
    <t xml:space="preserve">MainStay Epoch US All Cap B        </t>
  </si>
  <si>
    <t xml:space="preserve">MainStay Epoch US All Cap C        </t>
  </si>
  <si>
    <t xml:space="preserve">Vanguard US Growth Inv             </t>
  </si>
  <si>
    <t xml:space="preserve">Deutsche World Dividend C          </t>
  </si>
  <si>
    <t xml:space="preserve">Natixis Funds                           </t>
  </si>
  <si>
    <t xml:space="preserve">Gateway C                          </t>
  </si>
  <si>
    <t xml:space="preserve">Columbia Pacific/Asia A            </t>
  </si>
  <si>
    <t xml:space="preserve">Goldman Sachs Equity Income A      </t>
  </si>
  <si>
    <t xml:space="preserve">State Street Global Advisors Funds      </t>
  </si>
  <si>
    <t xml:space="preserve">SSgA Intl Stock Selection N        </t>
  </si>
  <si>
    <t xml:space="preserve">American Century Intl Value Inv    </t>
  </si>
  <si>
    <t xml:space="preserve">Columbia Pacific/Asia T            </t>
  </si>
  <si>
    <t xml:space="preserve">Pioneer Emerging Markets R         </t>
  </si>
  <si>
    <t xml:space="preserve">iShares MSCI EAFE Intl Idx Inv A   </t>
  </si>
  <si>
    <t xml:space="preserve">Fidelity Adv Divers Stk M          </t>
  </si>
  <si>
    <t xml:space="preserve">Invesco Global Growth B            </t>
  </si>
  <si>
    <t xml:space="preserve">Putnam Global Utilities Fund R     </t>
  </si>
  <si>
    <t xml:space="preserve">Putnam International Value R       </t>
  </si>
  <si>
    <t xml:space="preserve">First Investors Funds                   </t>
  </si>
  <si>
    <t xml:space="preserve">First Inv Global B                 </t>
  </si>
  <si>
    <t xml:space="preserve">T Rowe Price Intl Stock Adv        </t>
  </si>
  <si>
    <t xml:space="preserve">Hartford Mutual Funds                   </t>
  </si>
  <si>
    <t xml:space="preserve">Hartford Intl Opportunities C      </t>
  </si>
  <si>
    <t xml:space="preserve">Ivy Natural Resources B            </t>
  </si>
  <si>
    <t xml:space="preserve">JPMorgan Intl Opps R6              </t>
  </si>
  <si>
    <t xml:space="preserve">Putnam International Growth R      </t>
  </si>
  <si>
    <t xml:space="preserve">Deutsche Core Equity C             </t>
  </si>
  <si>
    <t xml:space="preserve">Fidelity Adv Financial Serv M      </t>
  </si>
  <si>
    <t xml:space="preserve">Hartford Intl Opportunities B      </t>
  </si>
  <si>
    <t xml:space="preserve">John Hancock Funds                      </t>
  </si>
  <si>
    <t xml:space="preserve">J Hancock VIT Lifestyle Aggr II    </t>
  </si>
  <si>
    <t xml:space="preserve">ICON Financial S                   </t>
  </si>
  <si>
    <t xml:space="preserve">Putnam Global Natural Resources Y  </t>
  </si>
  <si>
    <t xml:space="preserve">Russell Investments Int Dev Mkt S  </t>
  </si>
  <si>
    <t xml:space="preserve">Dreyfus Mid Cap Growth C           </t>
  </si>
  <si>
    <t xml:space="preserve">Ivy Natural Resources C            </t>
  </si>
  <si>
    <t xml:space="preserve">Alger Small Cap Growth Fund A      </t>
  </si>
  <si>
    <t xml:space="preserve">Fidelity Growth Strategies Fd      </t>
  </si>
  <si>
    <t xml:space="preserve">UBS Internatl Sustainable Equity P </t>
  </si>
  <si>
    <t xml:space="preserve">GAMCO International Growth C       </t>
  </si>
  <si>
    <t xml:space="preserve">MainStay Intl Equity R3            </t>
  </si>
  <si>
    <t xml:space="preserve">Russell Investments Int Dev Mkt I  </t>
  </si>
  <si>
    <t xml:space="preserve">American Century Intl Value I      </t>
  </si>
  <si>
    <t xml:space="preserve">Consulting Group Capital Markets        </t>
  </si>
  <si>
    <t xml:space="preserve">CGCM Intl Equity                   </t>
  </si>
  <si>
    <t xml:space="preserve">Templeton Developing Markets R     </t>
  </si>
  <si>
    <t xml:space="preserve">Hartford Schroders Intl Alpha A    </t>
  </si>
  <si>
    <t xml:space="preserve">Franklin Gold &amp; Precious Metals C  </t>
  </si>
  <si>
    <t xml:space="preserve">Schwab Funds                            </t>
  </si>
  <si>
    <t xml:space="preserve">Schwab International Index         </t>
  </si>
  <si>
    <t xml:space="preserve">Waddell &amp; Reed Adv Glbl Growth C   </t>
  </si>
  <si>
    <t xml:space="preserve">Lazard Funds                            </t>
  </si>
  <si>
    <t xml:space="preserve">Lazard Intl Equity Open            </t>
  </si>
  <si>
    <t xml:space="preserve">QS Growth C                        </t>
  </si>
  <si>
    <t xml:space="preserve">Nationwide Bailard Intl Eq C       </t>
  </si>
  <si>
    <t xml:space="preserve">Touchstone Dynamic Equity C        </t>
  </si>
  <si>
    <t xml:space="preserve">Dean Funds                              </t>
  </si>
  <si>
    <t xml:space="preserve">Dean Mid Cap Value                 </t>
  </si>
  <si>
    <t xml:space="preserve">Fidelity Select Energy Svcs        </t>
  </si>
  <si>
    <t xml:space="preserve">Eaton Vance Greater China Gr A     </t>
  </si>
  <si>
    <t xml:space="preserve">Fidelity Adv Overseas Fund A       </t>
  </si>
  <si>
    <t xml:space="preserve">Fidelity Emerging Markets Fd       </t>
  </si>
  <si>
    <t>Gabelli Global Rising Inc &amp; Div AAA</t>
  </si>
  <si>
    <t xml:space="preserve">Putnam Europe Equity B             </t>
  </si>
  <si>
    <t xml:space="preserve">Putnam Europe Equity C             </t>
  </si>
  <si>
    <t xml:space="preserve">Russell Investments Int Dev Mkt Y  </t>
  </si>
  <si>
    <t xml:space="preserve">Fidelity Growth Strategies K       </t>
  </si>
  <si>
    <t xml:space="preserve">JPMorgan International Value L     </t>
  </si>
  <si>
    <t xml:space="preserve">Virtus WCM International Equity I  </t>
  </si>
  <si>
    <t xml:space="preserve">T Rowe Price Intl Stock            </t>
  </si>
  <si>
    <t xml:space="preserve">Gabelli Global Rising Inc &amp; Div A  </t>
  </si>
  <si>
    <t xml:space="preserve">MFS Funds                               </t>
  </si>
  <si>
    <t xml:space="preserve">MFS Emerging Mkt Equity Fund B     </t>
  </si>
  <si>
    <t xml:space="preserve">MFS Emerging Mkt Equity Fund C     </t>
  </si>
  <si>
    <t xml:space="preserve">T Rowe Price Inst Intl Gro Eqty    </t>
  </si>
  <si>
    <t xml:space="preserve">AB Sustainable Global Thematic A   </t>
  </si>
  <si>
    <t xml:space="preserve">Van Eck Funds                           </t>
  </si>
  <si>
    <t xml:space="preserve">VanEck Global Hard Assets C        </t>
  </si>
  <si>
    <t xml:space="preserve">Federated Investors Funds               </t>
  </si>
  <si>
    <t xml:space="preserve">Federated Equity Income B          </t>
  </si>
  <si>
    <t xml:space="preserve">Pioneer Emerging Markets A         </t>
  </si>
  <si>
    <t xml:space="preserve">Federated Equity Income C          </t>
  </si>
  <si>
    <t xml:space="preserve">CGCM Emerging Mkts Eqty            </t>
  </si>
  <si>
    <t xml:space="preserve">Fidelity Emerging Markets K        </t>
  </si>
  <si>
    <t xml:space="preserve">Ivy Value A                        </t>
  </si>
  <si>
    <t xml:space="preserve">Alger International Growth A       </t>
  </si>
  <si>
    <t xml:space="preserve">Columbia Pacific/Asia R4           </t>
  </si>
  <si>
    <t xml:space="preserve">Columbia Pacific/Asia Z            </t>
  </si>
  <si>
    <t xml:space="preserve">Templeton Global Opportunities C   </t>
  </si>
  <si>
    <t xml:space="preserve">J Hancock VIT Lifestyle Aggr I     </t>
  </si>
  <si>
    <t xml:space="preserve">JPMorgan International Eq A        </t>
  </si>
  <si>
    <t xml:space="preserve">iShares MSCI EAFE Intl Idx Inst    </t>
  </si>
  <si>
    <t xml:space="preserve">Eaton Vance Greater China Gr I     </t>
  </si>
  <si>
    <t xml:space="preserve">Fidelity Adv Divers Stk A          </t>
  </si>
  <si>
    <t xml:space="preserve">J Hancock Financial Industries B   </t>
  </si>
  <si>
    <t xml:space="preserve">Delaware Intl Value Equity R       </t>
  </si>
  <si>
    <t xml:space="preserve">Value Line Funds                        </t>
  </si>
  <si>
    <t xml:space="preserve">Value Line Mid Cap Focused Inv     </t>
  </si>
  <si>
    <t xml:space="preserve">Russell Investments Emerg Mkt C    </t>
  </si>
  <si>
    <t xml:space="preserve">J Hancock VIT Lifestyle Aggr NAV   </t>
  </si>
  <si>
    <t xml:space="preserve">Dreyfus Research Growth C          </t>
  </si>
  <si>
    <t xml:space="preserve">Fidelity Adv Financial Serv A      </t>
  </si>
  <si>
    <t xml:space="preserve">Fidelity Adv Telecom C             </t>
  </si>
  <si>
    <t xml:space="preserve">Templeton Developing Markets A     </t>
  </si>
  <si>
    <t xml:space="preserve">Morgan Stanley European Eq B       </t>
  </si>
  <si>
    <t xml:space="preserve">Johnson Mutual Funds Trust              </t>
  </si>
  <si>
    <t xml:space="preserve">Johnson Growth                     </t>
  </si>
  <si>
    <t xml:space="preserve">Morgan Stanley Institutional Funds      </t>
  </si>
  <si>
    <t xml:space="preserve">MSIF Active Internatl Allocation A </t>
  </si>
  <si>
    <t xml:space="preserve">Eaton Vance Special Eq C           </t>
  </si>
  <si>
    <t xml:space="preserve">Glenmede Funds                          </t>
  </si>
  <si>
    <t xml:space="preserve">Glenmede International Port        </t>
  </si>
  <si>
    <t xml:space="preserve">Ivy International Core Eq B        </t>
  </si>
  <si>
    <t xml:space="preserve">Guggenheim Large Cap Value A       </t>
  </si>
  <si>
    <t xml:space="preserve">Target International Equity Z      </t>
  </si>
  <si>
    <t xml:space="preserve">Putnam International Equity B      </t>
  </si>
  <si>
    <t xml:space="preserve">Deutsche Global Growth C           </t>
  </si>
  <si>
    <t xml:space="preserve">Hartford Schroders Intl Alpha I    </t>
  </si>
  <si>
    <t xml:space="preserve">Putnam International Equity C      </t>
  </si>
  <si>
    <t xml:space="preserve">Fidelity Adv Gr Opportunity C      </t>
  </si>
  <si>
    <t xml:space="preserve">MainStay Intl Equity R2            </t>
  </si>
  <si>
    <t xml:space="preserve">Goldman Sachs Equity Income Inst   </t>
  </si>
  <si>
    <t xml:space="preserve">Invesco VI Gobal Core Equity I     </t>
  </si>
  <si>
    <t xml:space="preserve">Target International Equity Q      </t>
  </si>
  <si>
    <t xml:space="preserve">Deutsche Large Cap Focus Gro C     </t>
  </si>
  <si>
    <t xml:space="preserve">Templeton Developing Markets R6    </t>
  </si>
  <si>
    <t>J Hancock VIT Intl Eqty Index B NAV</t>
  </si>
  <si>
    <t xml:space="preserve">Putnam Investors Fund B            </t>
  </si>
  <si>
    <t xml:space="preserve">Columbia Select Global Equity R    </t>
  </si>
  <si>
    <t xml:space="preserve">Fidelity Growth and Income         </t>
  </si>
  <si>
    <t xml:space="preserve">Franklin Natural Resources A       </t>
  </si>
  <si>
    <t xml:space="preserve">Invesco International Growth B     </t>
  </si>
  <si>
    <t xml:space="preserve">Lazard Intl Equity Inst            </t>
  </si>
  <si>
    <t xml:space="preserve">Lord Abbett Funds                       </t>
  </si>
  <si>
    <t xml:space="preserve">Lord Abbett Sec Tr-Intl Opp B      </t>
  </si>
  <si>
    <t xml:space="preserve">Putnam Global Utilities Fund A     </t>
  </si>
  <si>
    <t xml:space="preserve">Putnam International Value A       </t>
  </si>
  <si>
    <t xml:space="preserve">Putnam Europe Equity M             </t>
  </si>
  <si>
    <t xml:space="preserve">Putnam Investors Fund C            </t>
  </si>
  <si>
    <t xml:space="preserve">Dimensional Fund Advisors               </t>
  </si>
  <si>
    <t xml:space="preserve">DFA Japanese Small Co Inst         </t>
  </si>
  <si>
    <t xml:space="preserve">Putnam Growth Opportunities B      </t>
  </si>
  <si>
    <t xml:space="preserve">AB Growth Fund B                   </t>
  </si>
  <si>
    <t xml:space="preserve">Lord Abbett Sec Tr-Intl Opp C      </t>
  </si>
  <si>
    <t xml:space="preserve">Neuberger Berman Funds                  </t>
  </si>
  <si>
    <t xml:space="preserve">Neuberger Berman Guardian C        </t>
  </si>
  <si>
    <t xml:space="preserve">Putnam International Growth A      </t>
  </si>
  <si>
    <t>Vanguard Total Intl Stock Index Inv</t>
  </si>
  <si>
    <t xml:space="preserve">Victory Global Natural Resources C </t>
  </si>
  <si>
    <t xml:space="preserve">AB Intl Growth B                   </t>
  </si>
  <si>
    <t xml:space="preserve">BlackRock Pacific Inv C            </t>
  </si>
  <si>
    <t xml:space="preserve">Ivy International Core Eq C        </t>
  </si>
  <si>
    <t xml:space="preserve">BlackRock Emerg Mkt Inv A          </t>
  </si>
  <si>
    <t xml:space="preserve">QS Global Equity A                 </t>
  </si>
  <si>
    <t xml:space="preserve">Oppenheimer International Equity R </t>
  </si>
  <si>
    <t xml:space="preserve">Fidelity Growth and Income K       </t>
  </si>
  <si>
    <t xml:space="preserve">AB Growth Fund C                   </t>
  </si>
  <si>
    <t xml:space="preserve">American Century Intl Gr R         </t>
  </si>
  <si>
    <t xml:space="preserve">Invesco Technology Inv             </t>
  </si>
  <si>
    <t xml:space="preserve">Ivy Value I                        </t>
  </si>
  <si>
    <t xml:space="preserve">JPMorgan International Eq I        </t>
  </si>
  <si>
    <t xml:space="preserve">Putnam Growth Opportunities C      </t>
  </si>
  <si>
    <t xml:space="preserve">AB Intl Growth C                   </t>
  </si>
  <si>
    <t xml:space="preserve">DFA Large Cap International Inst   </t>
  </si>
  <si>
    <t xml:space="preserve">Fidelity Adv Overseas Fund I       </t>
  </si>
  <si>
    <t xml:space="preserve">MFS International Growth Fund B    </t>
  </si>
  <si>
    <t xml:space="preserve">MFS International Growth Fund C    </t>
  </si>
  <si>
    <t xml:space="preserve">Deutsche Latin America Equity C    </t>
  </si>
  <si>
    <t xml:space="preserve">Northern Funds                          </t>
  </si>
  <si>
    <t xml:space="preserve">Northern Intl Equity               </t>
  </si>
  <si>
    <t xml:space="preserve">Wells Fargo Target 2040 C          </t>
  </si>
  <si>
    <t xml:space="preserve">SunAmerica VAL Co I Core Eq Fd     </t>
  </si>
  <si>
    <t xml:space="preserve">AB Sustainable Global Thematic Adv </t>
  </si>
  <si>
    <t xml:space="preserve">Ivy Value N                        </t>
  </si>
  <si>
    <t xml:space="preserve">Delaware Intl Value Equity A       </t>
  </si>
  <si>
    <t xml:space="preserve">MainStay Intl Equity R1            </t>
  </si>
  <si>
    <t xml:space="preserve">Wright Major Blue Chip Equities    </t>
  </si>
  <si>
    <t xml:space="preserve">Dreyfus Sustainable US Equity A    </t>
  </si>
  <si>
    <t xml:space="preserve">Morgan Stanley European Eq A       </t>
  </si>
  <si>
    <t xml:space="preserve">Putnam Global Utilities Fund Y     </t>
  </si>
  <si>
    <t xml:space="preserve">BlackRock Energy &amp; Resources Inv A </t>
  </si>
  <si>
    <t xml:space="preserve">Invesco Technology Y               </t>
  </si>
  <si>
    <t xml:space="preserve">American Century VP Intl I         </t>
  </si>
  <si>
    <t xml:space="preserve">Columbia Global Equity Value C     </t>
  </si>
  <si>
    <t xml:space="preserve">Federated Equity Income R          </t>
  </si>
  <si>
    <t xml:space="preserve">MainStay Intl Equity A             </t>
  </si>
  <si>
    <t xml:space="preserve">ICON Intl Equity S                 </t>
  </si>
  <si>
    <t xml:space="preserve">Putnam International Growth Y      </t>
  </si>
  <si>
    <t xml:space="preserve">Columbia Global Equity Value B     </t>
  </si>
  <si>
    <t xml:space="preserve">MainStay Intl Equity I             </t>
  </si>
  <si>
    <t xml:space="preserve">MSIF Active Internatl Allocation I </t>
  </si>
  <si>
    <t xml:space="preserve">Columbia Select Global Equity T    </t>
  </si>
  <si>
    <t xml:space="preserve">Franklin Templeton Institutional Gr     </t>
  </si>
  <si>
    <t xml:space="preserve">Templeton Developing Markets Adv   </t>
  </si>
  <si>
    <t xml:space="preserve">Putnam International Equity M      </t>
  </si>
  <si>
    <t xml:space="preserve">Boston Partners Investment Funds        </t>
  </si>
  <si>
    <t xml:space="preserve">WPG Partners Sm/Mic Cap Val Inst   </t>
  </si>
  <si>
    <t xml:space="preserve">Ivy Emerging Markets Equity A      </t>
  </si>
  <si>
    <t xml:space="preserve">Fidelity Adv Financial Serv I      </t>
  </si>
  <si>
    <t xml:space="preserve">Hartford Intl Opportunities R3     </t>
  </si>
  <si>
    <t xml:space="preserve">Invesco Charter B                  </t>
  </si>
  <si>
    <t xml:space="preserve">PNC Funds                               </t>
  </si>
  <si>
    <t>PNC Multi-Factor Large Cap Growth A</t>
  </si>
  <si>
    <t xml:space="preserve">Virtus Mutual Funds                     </t>
  </si>
  <si>
    <t xml:space="preserve">Virtus KAR Mid Cap Growth A        </t>
  </si>
  <si>
    <t xml:space="preserve">AB Sm Cap Growth B                 </t>
  </si>
  <si>
    <t xml:space="preserve">Columbia Select Global Equity A    </t>
  </si>
  <si>
    <t xml:space="preserve">FBP Funds                               </t>
  </si>
  <si>
    <t xml:space="preserve">FBP Equity and Dividend Plus       </t>
  </si>
  <si>
    <t xml:space="preserve">Janus Funds                             </t>
  </si>
  <si>
    <t xml:space="preserve">Janus Henderson Overseas C         </t>
  </si>
  <si>
    <t xml:space="preserve">Neuberger Berman Socially Resp C   </t>
  </si>
  <si>
    <t xml:space="preserve">Putnam International Value Y       </t>
  </si>
  <si>
    <t xml:space="preserve">Jacob Small Cap Growth Investor    </t>
  </si>
  <si>
    <t xml:space="preserve">Putnam Investors Fund M            </t>
  </si>
  <si>
    <t xml:space="preserve">American Century All Cap Gro C     </t>
  </si>
  <si>
    <t xml:space="preserve">Fidelity Select Financial Services </t>
  </si>
  <si>
    <t xml:space="preserve">Templeton Foreign C                </t>
  </si>
  <si>
    <t xml:space="preserve">Nationwide Global Sustainable Eq A </t>
  </si>
  <si>
    <t xml:space="preserve">Fidelity Adv Divers Stk I          </t>
  </si>
  <si>
    <t xml:space="preserve">Fidelity Adv Telecom M             </t>
  </si>
  <si>
    <t xml:space="preserve">Voya Investments LLC                    </t>
  </si>
  <si>
    <t xml:space="preserve">Voya Strategic Alloc Gr Cl I       </t>
  </si>
  <si>
    <t xml:space="preserve">Invesco Global Growth A            </t>
  </si>
  <si>
    <t xml:space="preserve">Gateway A                          </t>
  </si>
  <si>
    <t xml:space="preserve">Wells Fargo Intl Equity A          </t>
  </si>
  <si>
    <t xml:space="preserve">AB Sm Cap Growth C                 </t>
  </si>
  <si>
    <t xml:space="preserve">AMG Funds                               </t>
  </si>
  <si>
    <t xml:space="preserve">AMG Managers Brandywine I          </t>
  </si>
  <si>
    <t xml:space="preserve">Calvert Capital Accumulation C     </t>
  </si>
  <si>
    <t xml:space="preserve">Invesco Technology Sector B        </t>
  </si>
  <si>
    <t xml:space="preserve">Putnam Growth Opportunities M      </t>
  </si>
  <si>
    <t xml:space="preserve">Voya Growth and Income I           </t>
  </si>
  <si>
    <t xml:space="preserve">Deutsche Communication A           </t>
  </si>
  <si>
    <t xml:space="preserve">Invesco Technology Sector C        </t>
  </si>
  <si>
    <t xml:space="preserve">Oak Associates Funds                    </t>
  </si>
  <si>
    <t xml:space="preserve">White Oak Select Growth            </t>
  </si>
  <si>
    <t xml:space="preserve">Oppenheimer Value B                </t>
  </si>
  <si>
    <t xml:space="preserve">Janus Henderson Glb Research Svc   </t>
  </si>
  <si>
    <t xml:space="preserve">Putnam International Equity R      </t>
  </si>
  <si>
    <t xml:space="preserve">Wells Fargo VT Sm Cap Growth 2     </t>
  </si>
  <si>
    <t xml:space="preserve">Columbia Select Global Equity Z    </t>
  </si>
  <si>
    <t xml:space="preserve">Fidelity Latin American Fund       </t>
  </si>
  <si>
    <t xml:space="preserve">QS Growth A                        </t>
  </si>
  <si>
    <t xml:space="preserve">Oppenheimer International Equity A </t>
  </si>
  <si>
    <t xml:space="preserve">American Century Intl Gr A         </t>
  </si>
  <si>
    <t xml:space="preserve">Federated Equity Income F          </t>
  </si>
  <si>
    <t xml:space="preserve">First Inv Global A                 </t>
  </si>
  <si>
    <t xml:space="preserve">Templeton Global Smaller Co C      </t>
  </si>
  <si>
    <t xml:space="preserve">Oppenheimer Value C                </t>
  </si>
  <si>
    <t xml:space="preserve">Dreyfus Sustainable US Equity Z    </t>
  </si>
  <si>
    <t xml:space="preserve">First Inv Equity Income B          </t>
  </si>
  <si>
    <t xml:space="preserve">J Hancock VIT Global I             </t>
  </si>
  <si>
    <t xml:space="preserve">BlackRock Emerg Mkt Institutional  </t>
  </si>
  <si>
    <t xml:space="preserve">Deutsche World Dividend A          </t>
  </si>
  <si>
    <t xml:space="preserve">Fidelity Adv Divers Stk O          </t>
  </si>
  <si>
    <t xml:space="preserve">Invesco Global Growth R6           </t>
  </si>
  <si>
    <t xml:space="preserve">Putnam Investors Fund R            </t>
  </si>
  <si>
    <t xml:space="preserve">Advisors' Inner Circle Funds            </t>
  </si>
  <si>
    <t xml:space="preserve">Adv Inn Cir McKee Intl Eqty I      </t>
  </si>
  <si>
    <t xml:space="preserve">Hartford Intl Opportunities A      </t>
  </si>
  <si>
    <t xml:space="preserve">Invesco Global Growth Y            </t>
  </si>
  <si>
    <t xml:space="preserve">STAAR Inv Trust Sm Comp Stock Fund </t>
  </si>
  <si>
    <t xml:space="preserve">J Hancock VIT Global NAV           </t>
  </si>
  <si>
    <t xml:space="preserve">Touchstone Dynamic Equity A        </t>
  </si>
  <si>
    <t xml:space="preserve">Deutsche Core Equity A             </t>
  </si>
  <si>
    <t xml:space="preserve">Delaware Intl Value Equity Inst    </t>
  </si>
  <si>
    <t xml:space="preserve">Putnam Growth Opportunities R      </t>
  </si>
  <si>
    <t xml:space="preserve">API Trust Funds                         </t>
  </si>
  <si>
    <t xml:space="preserve">Yorktown Growth L                  </t>
  </si>
  <si>
    <t xml:space="preserve">Columbia Select Global Equity K    </t>
  </si>
  <si>
    <t xml:space="preserve">Victory Global Natural Resources R </t>
  </si>
  <si>
    <t xml:space="preserve">Dreyfus Intl Equity C              </t>
  </si>
  <si>
    <t xml:space="preserve">Fidelity Adv Telecom A             </t>
  </si>
  <si>
    <t xml:space="preserve">Pioneer Emerging Markets Y         </t>
  </si>
  <si>
    <t xml:space="preserve">Putnam Multi-Cap Growth Fund C     </t>
  </si>
  <si>
    <t xml:space="preserve">ICON Natural Resources S           </t>
  </si>
  <si>
    <t xml:space="preserve">Lord Abbett Sec Tr-Intl Opp R2     </t>
  </si>
  <si>
    <t xml:space="preserve">Gateway Y                          </t>
  </si>
  <si>
    <t xml:space="preserve">Putnam Multi-Cap Growth Fund B     </t>
  </si>
  <si>
    <t xml:space="preserve">Dreyfus Sustainable US Equity I    </t>
  </si>
  <si>
    <t xml:space="preserve">Fidelity Select Banking Port       </t>
  </si>
  <si>
    <t xml:space="preserve">Morgan Stanley European Eq I       </t>
  </si>
  <si>
    <t xml:space="preserve">Neuberger Berman Large Cap Val C   </t>
  </si>
  <si>
    <t xml:space="preserve">SEI Instl Managed Tr-Lg Cap Gro F  </t>
  </si>
  <si>
    <t xml:space="preserve">Dreyfus Fund Incorporated          </t>
  </si>
  <si>
    <t xml:space="preserve">Dreyfus Mid Cap Growth A           </t>
  </si>
  <si>
    <t xml:space="preserve">Franklin Gold &amp; Precious Metals A  </t>
  </si>
  <si>
    <t xml:space="preserve">Ivy Natural Resources A            </t>
  </si>
  <si>
    <t xml:space="preserve">MFS Emerging Mkt Equity Fund A     </t>
  </si>
  <si>
    <t xml:space="preserve">Oppenheimer Gold/Spec Min B        </t>
  </si>
  <si>
    <t xml:space="preserve">Volumetric Funds                        </t>
  </si>
  <si>
    <t xml:space="preserve">Volumetric Fund                    </t>
  </si>
  <si>
    <t xml:space="preserve">Ivy Emerging Markets Equity I      </t>
  </si>
  <si>
    <t xml:space="preserve">Columbia Select Global Equity R5   </t>
  </si>
  <si>
    <t xml:space="preserve">Deutsche Capital Growth C          </t>
  </si>
  <si>
    <t xml:space="preserve">GAMCO International Growth AAA     </t>
  </si>
  <si>
    <t xml:space="preserve">Nationwide Bailard Intl Eq A       </t>
  </si>
  <si>
    <t>Natixis Loomis Sayles Growth Fund C</t>
  </si>
  <si>
    <t xml:space="preserve">Pear Tree Funds                         </t>
  </si>
  <si>
    <t xml:space="preserve">Pear Tree Quality Ord              </t>
  </si>
  <si>
    <t xml:space="preserve">Victory RS Growth C                </t>
  </si>
  <si>
    <t xml:space="preserve">Ivy Emerging Markets Equity N      </t>
  </si>
  <si>
    <t xml:space="preserve">JPMorgan Emerg Mkt Eq A            </t>
  </si>
  <si>
    <t xml:space="preserve">Neuberger Berman Guardian Adv      </t>
  </si>
  <si>
    <t>SunAmerica VAL Co I Growth &amp; Inc Fd</t>
  </si>
  <si>
    <t xml:space="preserve">BlackRock Energy &amp; Resources Inst  </t>
  </si>
  <si>
    <t xml:space="preserve">Cavanal Hill Funds                      </t>
  </si>
  <si>
    <t xml:space="preserve">Cavanal Hill Mult Cap Eqty Inc Inv </t>
  </si>
  <si>
    <t xml:space="preserve">Fidelity Overseas Fd               </t>
  </si>
  <si>
    <t>PNC Multi-Factor Large Cap Growth I</t>
  </si>
  <si>
    <t xml:space="preserve">Franklin Natural Resources Adv     </t>
  </si>
  <si>
    <t xml:space="preserve">Oppenheimer Gold/Spec Min C        </t>
  </si>
  <si>
    <t xml:space="preserve">BlackRock Eurofund Inv C           </t>
  </si>
  <si>
    <t xml:space="preserve">FPA Funds                               </t>
  </si>
  <si>
    <t xml:space="preserve">FPA Paramount Inc                  </t>
  </si>
  <si>
    <t xml:space="preserve">Invesco International Growth R     </t>
  </si>
  <si>
    <t xml:space="preserve">Natixis Oakmark C                  </t>
  </si>
  <si>
    <t xml:space="preserve">Oppenheimer International Equity Y </t>
  </si>
  <si>
    <t xml:space="preserve">Sterling Capital Funds                  </t>
  </si>
  <si>
    <t xml:space="preserve">Sterling Capital Beh LC Val Eq A   </t>
  </si>
  <si>
    <t xml:space="preserve">BlackRock Pacific R                </t>
  </si>
  <si>
    <t xml:space="preserve">Deutsche Science and Tech C        </t>
  </si>
  <si>
    <t xml:space="preserve">Dreyfus LgCap Eq C                 </t>
  </si>
  <si>
    <t xml:space="preserve">Fidelity Advisor Europe C          </t>
  </si>
  <si>
    <t xml:space="preserve">First Inv Special Situations B     </t>
  </si>
  <si>
    <t xml:space="preserve">Invesco Global Growth R5           </t>
  </si>
  <si>
    <t xml:space="preserve">MainStay Epoch US All Cap A        </t>
  </si>
  <si>
    <t xml:space="preserve">Putnam Europe Equity A             </t>
  </si>
  <si>
    <t xml:space="preserve">Wells Fargo Intl Equity Inst       </t>
  </si>
  <si>
    <t xml:space="preserve">Virtus KAR Capital Growth A        </t>
  </si>
  <si>
    <t xml:space="preserve">Fidelity Adv Gr Opportunity M      </t>
  </si>
  <si>
    <t xml:space="preserve">Hartford Intl Opportunities R4     </t>
  </si>
  <si>
    <t xml:space="preserve">Pax World Funds                         </t>
  </si>
  <si>
    <t xml:space="preserve">Pax ESG Beta Quality A             </t>
  </si>
  <si>
    <t xml:space="preserve">Pax ESG Beta Quality Ind Inv       </t>
  </si>
  <si>
    <t xml:space="preserve">Schwartz Investment Trust               </t>
  </si>
  <si>
    <t xml:space="preserve">Schwartz Value Focused             </t>
  </si>
  <si>
    <t xml:space="preserve">GAMCO Growth C                     </t>
  </si>
  <si>
    <t xml:space="preserve">Hartford Intl Opportunities I      </t>
  </si>
  <si>
    <t xml:space="preserve">Neuberger Berman Guardian R3       </t>
  </si>
  <si>
    <t xml:space="preserve">Deutsche CROCI Equity Dividend C   </t>
  </si>
  <si>
    <t xml:space="preserve">GAMCO International Growth A       </t>
  </si>
  <si>
    <t xml:space="preserve">Lord Abbett Sec Tr-Intl Opp R3     </t>
  </si>
  <si>
    <t xml:space="preserve">VanEck Global Hard Assets A        </t>
  </si>
  <si>
    <t xml:space="preserve">Dreyfus Lrg Cap Gr C               </t>
  </si>
  <si>
    <t xml:space="preserve">Fidelity Overseas K                </t>
  </si>
  <si>
    <t xml:space="preserve">Franklin Gold &amp; Precious Metals R6 </t>
  </si>
  <si>
    <t xml:space="preserve">J Hancock VIT Small Cap Gro NAV    </t>
  </si>
  <si>
    <t xml:space="preserve">Janus Henderson Glb Research Inst  </t>
  </si>
  <si>
    <t xml:space="preserve">OCM Mutual Fund                         </t>
  </si>
  <si>
    <t xml:space="preserve">OCM Gold Fund Investor             </t>
  </si>
  <si>
    <t xml:space="preserve">J Hancock Financial Industries A   </t>
  </si>
  <si>
    <t xml:space="preserve">Delaware US Growth C               </t>
  </si>
  <si>
    <t xml:space="preserve">American Century Intl Gr Inv       </t>
  </si>
  <si>
    <t xml:space="preserve">MFS Growth Fund B                  </t>
  </si>
  <si>
    <t xml:space="preserve">MFS Growth Fund C                  </t>
  </si>
  <si>
    <t>Nationwide Global Sustainable Eq R6</t>
  </si>
  <si>
    <t xml:space="preserve">Russell Investments Emerg Mkt A    </t>
  </si>
  <si>
    <t xml:space="preserve">Transamerica Funds                      </t>
  </si>
  <si>
    <t xml:space="preserve">Transamerica International Eqty I  </t>
  </si>
  <si>
    <t xml:space="preserve">Virtus Grow Alloc Str C            </t>
  </si>
  <si>
    <t xml:space="preserve">American Independence Funds Trust       </t>
  </si>
  <si>
    <t xml:space="preserve">AI International Institutional     </t>
  </si>
  <si>
    <t xml:space="preserve">Deutsche World Dividend S          </t>
  </si>
  <si>
    <t xml:space="preserve">Jamestown Funds/JB&amp;C                    </t>
  </si>
  <si>
    <t xml:space="preserve">Jamestown Equity                   </t>
  </si>
  <si>
    <t xml:space="preserve">Elfun International                </t>
  </si>
  <si>
    <t xml:space="preserve">Davis Funds                             </t>
  </si>
  <si>
    <t xml:space="preserve">Selected International Fund S      </t>
  </si>
  <si>
    <t xml:space="preserve">Dreyfus Mid Cap Growth F           </t>
  </si>
  <si>
    <t xml:space="preserve">Federated Equity Income A          </t>
  </si>
  <si>
    <t xml:space="preserve">Templeton Global Opportunities A   </t>
  </si>
  <si>
    <t xml:space="preserve">Gabelli Gold C                     </t>
  </si>
  <si>
    <t xml:space="preserve">Putnam Global Equity Fd B          </t>
  </si>
  <si>
    <t xml:space="preserve">Putnam Global Equity Fd C          </t>
  </si>
  <si>
    <t xml:space="preserve">State Street Dscpld Em Mkts Eq N   </t>
  </si>
  <si>
    <t>Cavanal Hill Mult Cap Eqty Inc Inst</t>
  </si>
  <si>
    <t xml:space="preserve">Russell Investments Emerg Mkt E    </t>
  </si>
  <si>
    <t xml:space="preserve">Russell Investments Tx-Mgd US LC C </t>
  </si>
  <si>
    <t xml:space="preserve">Touchstone Dynamic Equity Y        </t>
  </si>
  <si>
    <t xml:space="preserve">US Global Inv Holmes Macro Trends  </t>
  </si>
  <si>
    <t xml:space="preserve">Dreyfus Mid Cap Growth I           </t>
  </si>
  <si>
    <t xml:space="preserve">VanEck Global Hard Assets Y        </t>
  </si>
  <si>
    <t xml:space="preserve">Sentinel Group                          </t>
  </si>
  <si>
    <t xml:space="preserve">Sentinel International Equity A    </t>
  </si>
  <si>
    <t xml:space="preserve">MSVIF Emerging Markets Equity I    </t>
  </si>
  <si>
    <t xml:space="preserve">Pax ESG Beta Quality Instl         </t>
  </si>
  <si>
    <t xml:space="preserve">Alpine Funds                            </t>
  </si>
  <si>
    <t xml:space="preserve">Alpine Intl Real Estate Inst       </t>
  </si>
  <si>
    <t xml:space="preserve">Federated Equity Income Inst       </t>
  </si>
  <si>
    <t xml:space="preserve">Hartford Intl Opps HLS Fd IB       </t>
  </si>
  <si>
    <t xml:space="preserve">Manor Investment Funds Inc              </t>
  </si>
  <si>
    <t xml:space="preserve">Manor Fund                         </t>
  </si>
  <si>
    <t xml:space="preserve">Putnam Europe Equity Y             </t>
  </si>
  <si>
    <t xml:space="preserve">Putnam Multi-Cap Growth Fund M     </t>
  </si>
  <si>
    <t xml:space="preserve">Virtus KAR Capital Growth I        </t>
  </si>
  <si>
    <t xml:space="preserve">AB Discovery Gro B                 </t>
  </si>
  <si>
    <t xml:space="preserve">American Beacon Funds                   </t>
  </si>
  <si>
    <t xml:space="preserve">American Beacon Intl Eq Adv        </t>
  </si>
  <si>
    <t xml:space="preserve">Dreyfus Sustainable US Eqty Port I </t>
  </si>
  <si>
    <t xml:space="preserve">Eaton Vance Special Eq A           </t>
  </si>
  <si>
    <t xml:space="preserve">JPMorgan Emerg Mkt Eq I            </t>
  </si>
  <si>
    <t xml:space="preserve">Luther King Capital Mgmt Corporatio     </t>
  </si>
  <si>
    <t xml:space="preserve">LKCM Aquinas Catholic Equity       </t>
  </si>
  <si>
    <t xml:space="preserve">Oberweis Funds                          </t>
  </si>
  <si>
    <t xml:space="preserve">Oberweis Emerging Growth Investor  </t>
  </si>
  <si>
    <t xml:space="preserve">Virtus Vontobel Foreign Opptys C   </t>
  </si>
  <si>
    <t xml:space="preserve">Dreyfus Research Growth A          </t>
  </si>
  <si>
    <t xml:space="preserve">Fidelity Adv Stock Selector AC C   </t>
  </si>
  <si>
    <t xml:space="preserve">Hartford Intl Opportunities HLS IB </t>
  </si>
  <si>
    <t xml:space="preserve">Nationwide Bailard Intl Eq IS      </t>
  </si>
  <si>
    <t xml:space="preserve">Columbia Global Equity Value R     </t>
  </si>
  <si>
    <t xml:space="preserve">Deutsche World Dividend Inst       </t>
  </si>
  <si>
    <t xml:space="preserve">Ivy Natural Resources I            </t>
  </si>
  <si>
    <t xml:space="preserve">Lord Abbett Sec Tr-Intl Opp A      </t>
  </si>
  <si>
    <t xml:space="preserve">AB Discovery Gro C                 </t>
  </si>
  <si>
    <t xml:space="preserve">JPMorgan Growth and Income C       </t>
  </si>
  <si>
    <t xml:space="preserve">Putnam International Equity A      </t>
  </si>
  <si>
    <t xml:space="preserve">Deutsche Global Growth A           </t>
  </si>
  <si>
    <t xml:space="preserve">Fidelity Adv Gr Opportunity A      </t>
  </si>
  <si>
    <t xml:space="preserve">Janus Henderson Overseas R         </t>
  </si>
  <si>
    <t xml:space="preserve">Voya Russia A                      </t>
  </si>
  <si>
    <t xml:space="preserve">Westcore Funds                          </t>
  </si>
  <si>
    <t xml:space="preserve">Westcore Global Large Cap Div Rtl  </t>
  </si>
  <si>
    <t xml:space="preserve">Ivy Natural Resources N            </t>
  </si>
  <si>
    <t xml:space="preserve">Waddell &amp; Reed Adv Glbl Growth A   </t>
  </si>
  <si>
    <t xml:space="preserve">Wells Fargo Target 2040 A          </t>
  </si>
  <si>
    <t xml:space="preserve">Adv Inn Cir TS&amp;W Eq Port Inst      </t>
  </si>
  <si>
    <t xml:space="preserve">SunAmerica VAL Co I Glb Soc Awr Fd </t>
  </si>
  <si>
    <t xml:space="preserve">American Century Ultra C           </t>
  </si>
  <si>
    <t xml:space="preserve">Templeton Global Opportunities Adv </t>
  </si>
  <si>
    <t xml:space="preserve">Templeton Growth C                 </t>
  </si>
  <si>
    <t xml:space="preserve">ICON Industrials S                 </t>
  </si>
  <si>
    <t xml:space="preserve">Invesco Charter R                  </t>
  </si>
  <si>
    <t xml:space="preserve">Ivy Core Equity C                  </t>
  </si>
  <si>
    <t xml:space="preserve">Victory Global Natural Resources Y </t>
  </si>
  <si>
    <t xml:space="preserve">Deutsche Core Equity S             </t>
  </si>
  <si>
    <t xml:space="preserve">Fidelity Adv Energy C              </t>
  </si>
  <si>
    <t xml:space="preserve">MFS International Growth Fund A    </t>
  </si>
  <si>
    <t xml:space="preserve">VanEck Intl Investors Gold A       </t>
  </si>
  <si>
    <t xml:space="preserve">Vanguard International Value Inv   </t>
  </si>
  <si>
    <t xml:space="preserve">Yorktown Capital Income A          </t>
  </si>
  <si>
    <t xml:space="preserve">Deutsche Large Cap Focus Gro A     </t>
  </si>
  <si>
    <t xml:space="preserve">Eaton Vance Special Eq I           </t>
  </si>
  <si>
    <t xml:space="preserve">Fidelity Adv Capital Devp Class C  </t>
  </si>
  <si>
    <t xml:space="preserve">Templeton Foreign R                </t>
  </si>
  <si>
    <t xml:space="preserve">Invesco International Growth A     </t>
  </si>
  <si>
    <t xml:space="preserve">Nationwide Bailard Intl Eq M       </t>
  </si>
  <si>
    <t xml:space="preserve">Pax Ellevate Glbl Women's Idx Inv  </t>
  </si>
  <si>
    <t xml:space="preserve">Putnam Investors Fund A            </t>
  </si>
  <si>
    <t>Sterling Capital Beh LC Val Eq Inst</t>
  </si>
  <si>
    <t xml:space="preserve">T Rowe Price Spectrum Internatl    </t>
  </si>
  <si>
    <t xml:space="preserve">American Century All Cap Gro R     </t>
  </si>
  <si>
    <t xml:space="preserve">FBP Appreciation and Income Opps   </t>
  </si>
  <si>
    <t xml:space="preserve">Monetta Funds                           </t>
  </si>
  <si>
    <t xml:space="preserve">Monetta                            </t>
  </si>
  <si>
    <t xml:space="preserve">Nuveen Investor Services                </t>
  </si>
  <si>
    <t xml:space="preserve">Nuveen Strategy Aggr Gro Alloc R3  </t>
  </si>
  <si>
    <t xml:space="preserve">Templeton World C                  </t>
  </si>
  <si>
    <t xml:space="preserve">Oppenheimer Rising Dividends B     </t>
  </si>
  <si>
    <t xml:space="preserve">Putnam Multi-Cap Growth Fund R     </t>
  </si>
  <si>
    <t xml:space="preserve">American Century Intl Gr I         </t>
  </si>
  <si>
    <t xml:space="preserve">Dreyfus Research Growth I          </t>
  </si>
  <si>
    <t xml:space="preserve">Dreyfus Research Growth Z          </t>
  </si>
  <si>
    <t xml:space="preserve">Goldman Sachs LC Gro Insights Svc  </t>
  </si>
  <si>
    <t xml:space="preserve">Guinness Atkinson China &amp; HK       </t>
  </si>
  <si>
    <t xml:space="preserve">Hartford Intl Opportunities R5     </t>
  </si>
  <si>
    <t xml:space="preserve">Payden &amp; Rygel Funds                    </t>
  </si>
  <si>
    <t xml:space="preserve">Payden Equity Income Investor      </t>
  </si>
  <si>
    <t xml:space="preserve">Putnam Growth Opportunities A      </t>
  </si>
  <si>
    <t>Franklin Gold &amp; Precious Metals Adv</t>
  </si>
  <si>
    <t xml:space="preserve">MFS Emerging Mkt Equity Fund I     </t>
  </si>
  <si>
    <t xml:space="preserve">Neuberger Berman Guardian A        </t>
  </si>
  <si>
    <t xml:space="preserve">Oppenheimer Capital Appr B         </t>
  </si>
  <si>
    <t xml:space="preserve">Payson Funds                            </t>
  </si>
  <si>
    <t xml:space="preserve">Payson Total Return                </t>
  </si>
  <si>
    <t xml:space="preserve">Thrivent Mutual Funds                   </t>
  </si>
  <si>
    <t xml:space="preserve">Thrivent Large Cap Stock A         </t>
  </si>
  <si>
    <t xml:space="preserve">Voya Russia I                      </t>
  </si>
  <si>
    <t xml:space="preserve">Beck Mack &amp; Oliver LLC                  </t>
  </si>
  <si>
    <t xml:space="preserve">Adalta International Fund          </t>
  </si>
  <si>
    <t xml:space="preserve">ClearBridge International Growth C </t>
  </si>
  <si>
    <t xml:space="preserve">Tocqueville Fund                        </t>
  </si>
  <si>
    <t xml:space="preserve">Tocqueville International Value    </t>
  </si>
  <si>
    <t xml:space="preserve">Victory Global Natural Resources A </t>
  </si>
  <si>
    <t xml:space="preserve">Wells Fargo Precious Mtls C        </t>
  </si>
  <si>
    <t xml:space="preserve">AB Growth Fund A                   </t>
  </si>
  <si>
    <t xml:space="preserve">AB Intl Growth A                   </t>
  </si>
  <si>
    <t xml:space="preserve">Pear Tree Quality Inst             </t>
  </si>
  <si>
    <t xml:space="preserve">Prudential Investments                  </t>
  </si>
  <si>
    <t xml:space="preserve">Prudential Jennison Blend B        </t>
  </si>
  <si>
    <t xml:space="preserve">Prudential Jennison Blend C        </t>
  </si>
  <si>
    <t xml:space="preserve">MainStay Epoch US All Cap I        </t>
  </si>
  <si>
    <t xml:space="preserve">Oppenheimer Rising Dividends C     </t>
  </si>
  <si>
    <t xml:space="preserve">Oppenheimer Value R                </t>
  </si>
  <si>
    <t xml:space="preserve">American Beacon Intl Eq Inv        </t>
  </si>
  <si>
    <t xml:space="preserve">American Century Inc and Gr C      </t>
  </si>
  <si>
    <t xml:space="preserve">BlackRock Pacific Inv A            </t>
  </si>
  <si>
    <t xml:space="preserve">Oppenheimer Capital Appr C         </t>
  </si>
  <si>
    <t xml:space="preserve">Russell Investments Emerg Mkt S    </t>
  </si>
  <si>
    <t xml:space="preserve">VanEck Intl Investors Gold Y       </t>
  </si>
  <si>
    <t xml:space="preserve">Templeton Inst-Emerg Markets Mkts  </t>
  </si>
  <si>
    <t xml:space="preserve">Franklin Growth Allocation C       </t>
  </si>
  <si>
    <t xml:space="preserve">Neuberger Berman Focus C           </t>
  </si>
  <si>
    <t xml:space="preserve">Sentinel International Equity I    </t>
  </si>
  <si>
    <t xml:space="preserve">Deutsche Small Cap Core C          </t>
  </si>
  <si>
    <t xml:space="preserve">First Inv Growth &amp; Income B        </t>
  </si>
  <si>
    <t xml:space="preserve">Hartford Intl Opportunities Y      </t>
  </si>
  <si>
    <t xml:space="preserve">Invesco International Growth R6    </t>
  </si>
  <si>
    <t xml:space="preserve">ClearBridge Value C                </t>
  </si>
  <si>
    <t xml:space="preserve">PACE Large Co Gr Eq Inve P         </t>
  </si>
  <si>
    <t xml:space="preserve">Victory RS Growth R                </t>
  </si>
  <si>
    <t xml:space="preserve">Invesco International Growth Y     </t>
  </si>
  <si>
    <t xml:space="preserve">Prudential Jennison Value C        </t>
  </si>
  <si>
    <t xml:space="preserve">Putnam Global Equity Fd M          </t>
  </si>
  <si>
    <t xml:space="preserve">Goldman Sachs LC Gro Insights A    </t>
  </si>
  <si>
    <t xml:space="preserve">Neuberger Berman Guardian Tr       </t>
  </si>
  <si>
    <t xml:space="preserve">Prudential Jennison Value B        </t>
  </si>
  <si>
    <t xml:space="preserve">Deutsche Latin America Equity A    </t>
  </si>
  <si>
    <t xml:space="preserve">Fidelity Adv Equity Income C       </t>
  </si>
  <si>
    <t xml:space="preserve">Commerce Funds                          </t>
  </si>
  <si>
    <t xml:space="preserve">Commerce Growth                    </t>
  </si>
  <si>
    <t xml:space="preserve">Ivy International Core Eq A        </t>
  </si>
  <si>
    <t xml:space="preserve">JPMorgan Emerg Mkt Eq L            </t>
  </si>
  <si>
    <t xml:space="preserve">MFS International Growth R6        </t>
  </si>
  <si>
    <t xml:space="preserve">Pax Ellevate Glbl Women's Idx Inst </t>
  </si>
  <si>
    <t xml:space="preserve">Saratoga Adv Tr-Large Cap Growth I </t>
  </si>
  <si>
    <t xml:space="preserve">Great-West Funds                        </t>
  </si>
  <si>
    <t xml:space="preserve">Great-West MFS Internatl Value Inv </t>
  </si>
  <si>
    <t xml:space="preserve">MFS Mass Investors Trust B         </t>
  </si>
  <si>
    <t xml:space="preserve">MFS Mass Investors Trust C         </t>
  </si>
  <si>
    <t xml:space="preserve">MSIF Emerging Markets A            </t>
  </si>
  <si>
    <t xml:space="preserve">Franklin Equity Inc C              </t>
  </si>
  <si>
    <t xml:space="preserve">AMG Mgrs Brandywine Blue I         </t>
  </si>
  <si>
    <t xml:space="preserve">Columbia Global Equity Value T     </t>
  </si>
  <si>
    <t xml:space="preserve">Deutsche Global Macro C            </t>
  </si>
  <si>
    <t xml:space="preserve">Dreyfus Wrldwde Growth C           </t>
  </si>
  <si>
    <t xml:space="preserve">Hartford Intl Opportunities HLS IA </t>
  </si>
  <si>
    <t xml:space="preserve">Hartford Intl Opps HLS Fd IA       </t>
  </si>
  <si>
    <t xml:space="preserve">Reynolds Funds                          </t>
  </si>
  <si>
    <t xml:space="preserve">Reynolds Blue Chip Growth          </t>
  </si>
  <si>
    <t xml:space="preserve">Russell Investments Emerg Mkt Y    </t>
  </si>
  <si>
    <t xml:space="preserve">American Century Growth C          </t>
  </si>
  <si>
    <t xml:space="preserve">AMG FQ US Equity N                 </t>
  </si>
  <si>
    <t xml:space="preserve">Fidelity Select Telecommunications </t>
  </si>
  <si>
    <t xml:space="preserve">JPMorgan Large Cap Growth C        </t>
  </si>
  <si>
    <t xml:space="preserve">MFS Research B                     </t>
  </si>
  <si>
    <t xml:space="preserve">MFS Research C                     </t>
  </si>
  <si>
    <t xml:space="preserve">Oppenheimer Gold/Spec Min R        </t>
  </si>
  <si>
    <t xml:space="preserve">Sit Large Cap Growth               </t>
  </si>
  <si>
    <t xml:space="preserve">Vanguard European Stk Idx Investor </t>
  </si>
  <si>
    <t xml:space="preserve">Fidelity Adv Telecom I             </t>
  </si>
  <si>
    <t xml:space="preserve">GMO Foreign II                     </t>
  </si>
  <si>
    <t xml:space="preserve">Domini Funds                            </t>
  </si>
  <si>
    <t xml:space="preserve">Domini Impact Equity Inv           </t>
  </si>
  <si>
    <t xml:space="preserve">Dreyfus LgCap Eq A                 </t>
  </si>
  <si>
    <t xml:space="preserve">MFS Mid-Cap Growth B               </t>
  </si>
  <si>
    <t xml:space="preserve">Putnam International Equity Y      </t>
  </si>
  <si>
    <t xml:space="preserve">Wells Fargo Dscpld US Core C       </t>
  </si>
  <si>
    <t xml:space="preserve">Wells Fargo Target 2040 Adm        </t>
  </si>
  <si>
    <t xml:space="preserve">Columbia Global Equity Value A     </t>
  </si>
  <si>
    <t xml:space="preserve">MFS Mid-Cap Growth C               </t>
  </si>
  <si>
    <t xml:space="preserve">BlackRock Eurofund R               </t>
  </si>
  <si>
    <t xml:space="preserve">Federated Max-Cap Index C          </t>
  </si>
  <si>
    <t xml:space="preserve">Fidelity Select Natural Gas        </t>
  </si>
  <si>
    <t xml:space="preserve">Invesco Charter A                  </t>
  </si>
  <si>
    <t xml:space="preserve">Janus Henderson Overseas S         </t>
  </si>
  <si>
    <t xml:space="preserve">Deutsche Global Growth S           </t>
  </si>
  <si>
    <t xml:space="preserve">BlackRock Basic Value Inv B        </t>
  </si>
  <si>
    <t xml:space="preserve">Deutsche Large Cap Focus Gro S     </t>
  </si>
  <si>
    <t xml:space="preserve">Dreyfus Growth and Income          </t>
  </si>
  <si>
    <t xml:space="preserve">Invesco Global Sm and Mid Cp Gro B </t>
  </si>
  <si>
    <t xml:space="preserve">Neuberger Berman Socially Resp A   </t>
  </si>
  <si>
    <t xml:space="preserve">Putnam Global Equity Fd R          </t>
  </si>
  <si>
    <t xml:space="preserve">AB Lg Cap Growth B                 </t>
  </si>
  <si>
    <t xml:space="preserve">Deutsche Global Growth Inst        </t>
  </si>
  <si>
    <t xml:space="preserve">Janus Henderson Overseas A         </t>
  </si>
  <si>
    <t xml:space="preserve">Putnam Investors Fund Y            </t>
  </si>
  <si>
    <t xml:space="preserve">American Century All Cap Gro A     </t>
  </si>
  <si>
    <t xml:space="preserve">American Century Select R          </t>
  </si>
  <si>
    <t xml:space="preserve">Templeton Foreign A                </t>
  </si>
  <si>
    <t xml:space="preserve">GMO Foreign III                    </t>
  </si>
  <si>
    <t xml:space="preserve">Invesco Charter S                  </t>
  </si>
  <si>
    <t xml:space="preserve">Victory RS Large Cap Alpha A       </t>
  </si>
  <si>
    <t xml:space="preserve">Alger SmallCap Growth I2           </t>
  </si>
  <si>
    <t xml:space="preserve">Fidelity Adv Growth and Income C   </t>
  </si>
  <si>
    <t xml:space="preserve">Fidelity Advisor Europe M          </t>
  </si>
  <si>
    <t xml:space="preserve">JPMorgan Large Cap Value C         </t>
  </si>
  <si>
    <t xml:space="preserve">Neuberger Berman Guardian Inv      </t>
  </si>
  <si>
    <t xml:space="preserve">Oppenheimer Main Street B          </t>
  </si>
  <si>
    <t xml:space="preserve">Waddell &amp; Reed Adv Core Invest B   </t>
  </si>
  <si>
    <t xml:space="preserve">American Century Equity Growth C   </t>
  </si>
  <si>
    <t xml:space="preserve">Columbia Global Equity Value R4    </t>
  </si>
  <si>
    <t xml:space="preserve">Eagle Funds                             </t>
  </si>
  <si>
    <t xml:space="preserve">Eagle Growth and Income C          </t>
  </si>
  <si>
    <t xml:space="preserve">Delaware US Growth R               </t>
  </si>
  <si>
    <t xml:space="preserve">MassMutual Funds                        </t>
  </si>
  <si>
    <t xml:space="preserve">MassMutual Premier Value A         </t>
  </si>
  <si>
    <t xml:space="preserve">Neuberger Berman MidCap Gr C       </t>
  </si>
  <si>
    <t xml:space="preserve">New Century Funds                       </t>
  </si>
  <si>
    <t xml:space="preserve">New Century Capital                </t>
  </si>
  <si>
    <t xml:space="preserve">Putnam Growth Opportunities Y      </t>
  </si>
  <si>
    <t xml:space="preserve">AB Lg Cap Growth C                 </t>
  </si>
  <si>
    <t xml:space="preserve">Teton Funds                             </t>
  </si>
  <si>
    <t xml:space="preserve">TETON Westwood Sm Cap Equity C     </t>
  </si>
  <si>
    <t xml:space="preserve">AB Sm Cap Growth A                 </t>
  </si>
  <si>
    <t xml:space="preserve">BlackRock Natural Resource Inv B   </t>
  </si>
  <si>
    <t xml:space="preserve">Columbia Global Equity Value Z     </t>
  </si>
  <si>
    <t xml:space="preserve">Highland Funds                          </t>
  </si>
  <si>
    <t xml:space="preserve">Highland Total Return A            </t>
  </si>
  <si>
    <t xml:space="preserve">Invesco Technology Sector A        </t>
  </si>
  <si>
    <t xml:space="preserve">ClearBridge International Growth R </t>
  </si>
  <si>
    <t xml:space="preserve">ClearBridge Value R                </t>
  </si>
  <si>
    <t xml:space="preserve">MFS Blended Research Core Eq I     </t>
  </si>
  <si>
    <t xml:space="preserve">Neuberger Berman Large Cap Val Adv </t>
  </si>
  <si>
    <t xml:space="preserve">Columbia Global Equity Value Y     </t>
  </si>
  <si>
    <t xml:space="preserve">Dreyfus Disciplined Stock Fund     </t>
  </si>
  <si>
    <t xml:space="preserve">Fidelity Adv International Disc C  </t>
  </si>
  <si>
    <t xml:space="preserve">USAA International Fund            </t>
  </si>
  <si>
    <t xml:space="preserve">Beck Mack &amp; Oliver Partners        </t>
  </si>
  <si>
    <t xml:space="preserve">Columbia Large Cap Index B         </t>
  </si>
  <si>
    <t xml:space="preserve">Fidelity Adv Gr Opportunity I      </t>
  </si>
  <si>
    <t xml:space="preserve">Fidelity Adv Stock Select Sm Cap C </t>
  </si>
  <si>
    <t xml:space="preserve">JPMorgan Equity Index C            </t>
  </si>
  <si>
    <t xml:space="preserve">Muhlenkamp Funds                        </t>
  </si>
  <si>
    <t xml:space="preserve">Muhlenkamp Fund                    </t>
  </si>
  <si>
    <t xml:space="preserve">Natixis Loomis Sayles Value C      </t>
  </si>
  <si>
    <t xml:space="preserve">Prudential QMA Stock Index C       </t>
  </si>
  <si>
    <t xml:space="preserve">BlackRock Natural Resource Inv C   </t>
  </si>
  <si>
    <t xml:space="preserve">BlackRock Pacific Inst             </t>
  </si>
  <si>
    <t xml:space="preserve">Columbia Globa Equity Value K      </t>
  </si>
  <si>
    <t xml:space="preserve">Invesco Charter R6                 </t>
  </si>
  <si>
    <t xml:space="preserve">Oppenheimer Main Street C          </t>
  </si>
  <si>
    <t xml:space="preserve">BlackRock Basic Value Inv C        </t>
  </si>
  <si>
    <t xml:space="preserve">Calvert Capital Accumulation A     </t>
  </si>
  <si>
    <t xml:space="preserve">Fidelity Advisor Worldwide C       </t>
  </si>
  <si>
    <t xml:space="preserve">Fidelity Select Automotive Fund    </t>
  </si>
  <si>
    <t xml:space="preserve">Invesco Charter Y                  </t>
  </si>
  <si>
    <t xml:space="preserve">Thomas White Funds                      </t>
  </si>
  <si>
    <t>Thomas White International Investor</t>
  </si>
  <si>
    <t xml:space="preserve">American Trust Co (American Data)       </t>
  </si>
  <si>
    <t xml:space="preserve">American Trust Allegiance Fd       </t>
  </si>
  <si>
    <t xml:space="preserve">First Inv Equity Income A          </t>
  </si>
  <si>
    <t xml:space="preserve">Ivy International Core Eq I        </t>
  </si>
  <si>
    <t xml:space="preserve">Neuberger Berman Guardian Inst     </t>
  </si>
  <si>
    <t xml:space="preserve">Putnam Research Fund B             </t>
  </si>
  <si>
    <t xml:space="preserve">Putnam Research Fund C             </t>
  </si>
  <si>
    <t xml:space="preserve">US Global Investors Em Europe      </t>
  </si>
  <si>
    <t xml:space="preserve">Templeton Foreign R6               </t>
  </si>
  <si>
    <t xml:space="preserve">Templeton Global Smaller Co A      </t>
  </si>
  <si>
    <t xml:space="preserve">USAA Aggressive Growth Fund        </t>
  </si>
  <si>
    <t xml:space="preserve">AB Growth Fund Adv                 </t>
  </si>
  <si>
    <t xml:space="preserve">AB Intl Growth Adv                 </t>
  </si>
  <si>
    <t xml:space="preserve">Oppenheimer Value A                </t>
  </si>
  <si>
    <t xml:space="preserve">American Beacon Intl Eq Inst       </t>
  </si>
  <si>
    <t xml:space="preserve">AMG Mgrs M&amp;C Growth N              </t>
  </si>
  <si>
    <t xml:space="preserve">Barrett Asset Management Funds          </t>
  </si>
  <si>
    <t xml:space="preserve">Barrett Opportunity Fund           </t>
  </si>
  <si>
    <t xml:space="preserve">Deutsche Small Cap Growth C        </t>
  </si>
  <si>
    <t xml:space="preserve">Fidelity Adv Capital Devp Class M  </t>
  </si>
  <si>
    <t xml:space="preserve">Ivy International Core Eq N        </t>
  </si>
  <si>
    <t xml:space="preserve">ClearBridge International Growth A </t>
  </si>
  <si>
    <t xml:space="preserve">Nuveen Large Cap Value C           </t>
  </si>
  <si>
    <t xml:space="preserve">BMO Funds                               </t>
  </si>
  <si>
    <t xml:space="preserve">BMO Large Cap Value A              </t>
  </si>
  <si>
    <t xml:space="preserve">Eaton Vance Tax-Mgd Growth 1.2 B   </t>
  </si>
  <si>
    <t xml:space="preserve">Eaton Vance Tax-Mgd Growth 1.2 C   </t>
  </si>
  <si>
    <t xml:space="preserve">Fidelity International Cap App Fd  </t>
  </si>
  <si>
    <t xml:space="preserve">Invesco Developing Markets A       </t>
  </si>
  <si>
    <t xml:space="preserve">New Alternatives Funds                  </t>
  </si>
  <si>
    <t xml:space="preserve">New Alternatives A                 </t>
  </si>
  <si>
    <t xml:space="preserve">Victory RS Large Cap Alpha Y       </t>
  </si>
  <si>
    <t xml:space="preserve">Wells Fargo Sm Co Gro C            </t>
  </si>
  <si>
    <t>BlackRock Advntg Sm Cap Gr Eq Inv C</t>
  </si>
  <si>
    <t xml:space="preserve">Bridges Investment Funds                </t>
  </si>
  <si>
    <t xml:space="preserve">Bridges Investment Fund            </t>
  </si>
  <si>
    <t xml:space="preserve">Fidelity Magellan Fund             </t>
  </si>
  <si>
    <t xml:space="preserve">Thomas White International I       </t>
  </si>
  <si>
    <t xml:space="preserve">Vanguard International Growth Inv  </t>
  </si>
  <si>
    <t xml:space="preserve">Waddell &amp; Reed Adv Core Invest C   </t>
  </si>
  <si>
    <t xml:space="preserve">Waddell &amp; Reed Adv Glbl Growth Y   </t>
  </si>
  <si>
    <t xml:space="preserve">Calvert Capital Accumulation Y     </t>
  </si>
  <si>
    <t xml:space="preserve">Deutsche Latin America Equity S    </t>
  </si>
  <si>
    <t xml:space="preserve">Vanguard Prec Metals &amp; Mining Inv  </t>
  </si>
  <si>
    <t xml:space="preserve">Columbia Global Equity Value R5    </t>
  </si>
  <si>
    <t xml:space="preserve">Prudential Jennison Value R        </t>
  </si>
  <si>
    <t xml:space="preserve">Russell Investments US Core Eq E   </t>
  </si>
  <si>
    <t xml:space="preserve">ALPS Funds                              </t>
  </si>
  <si>
    <t xml:space="preserve">ALPS/WMC Research Value A          </t>
  </si>
  <si>
    <t xml:space="preserve">Dreyfus Intl Equity A              </t>
  </si>
  <si>
    <t xml:space="preserve">ClearBridge Value A                </t>
  </si>
  <si>
    <t xml:space="preserve">Putnam Multi-Cap Growth Fund A     </t>
  </si>
  <si>
    <t xml:space="preserve">GMO International Equity II        </t>
  </si>
  <si>
    <t xml:space="preserve">MSIF Emerging Markets I            </t>
  </si>
  <si>
    <t xml:space="preserve">AMG FQ US Equity I                 </t>
  </si>
  <si>
    <t xml:space="preserve">iShares S&amp;P 500 Index Investor C1  </t>
  </si>
  <si>
    <t xml:space="preserve">Dreyfus Lrg Cap Gr A               </t>
  </si>
  <si>
    <t xml:space="preserve">Fidelity Adv Stock Selector AC M   </t>
  </si>
  <si>
    <t xml:space="preserve">J Hancock VIT Science &amp; Tech II    </t>
  </si>
  <si>
    <t xml:space="preserve">SSgA Dynamic Small Cap N           </t>
  </si>
  <si>
    <t xml:space="preserve">Fidelity Magellan Fund K           </t>
  </si>
  <si>
    <t xml:space="preserve">Lord Abbett Affiliated C           </t>
  </si>
  <si>
    <t xml:space="preserve">MFS Global Growth Fund C           </t>
  </si>
  <si>
    <t xml:space="preserve">Prudential Jennison Value Q        </t>
  </si>
  <si>
    <t xml:space="preserve">Voya Global Equity C               </t>
  </si>
  <si>
    <t xml:space="preserve">Williamsburg Investment Trust           </t>
  </si>
  <si>
    <t xml:space="preserve">Government Street Equity Fund      </t>
  </si>
  <si>
    <t xml:space="preserve">Templeton Global Smaller Co R6     </t>
  </si>
  <si>
    <t xml:space="preserve">Lord Abbett Affiliated B           </t>
  </si>
  <si>
    <t xml:space="preserve">MFS Global Growth Fund B           </t>
  </si>
  <si>
    <t>Natixis Loomis Sayles Growth Fund A</t>
  </si>
  <si>
    <t xml:space="preserve">Columbia Large Cap Growth B        </t>
  </si>
  <si>
    <t xml:space="preserve">Green Century Funds                     </t>
  </si>
  <si>
    <t>Green Century Equity Individual Inv</t>
  </si>
  <si>
    <t xml:space="preserve">Janus Henderson Overseas T         </t>
  </si>
  <si>
    <t xml:space="preserve">Oppenheimer Discovery B            </t>
  </si>
  <si>
    <t xml:space="preserve">Pioneer Fund C                     </t>
  </si>
  <si>
    <t xml:space="preserve">Columbia Large Cap Growth C        </t>
  </si>
  <si>
    <t xml:space="preserve">Columbia Large Cap Growth F        </t>
  </si>
  <si>
    <t xml:space="preserve">Commonwealth-Australia/New Zealand </t>
  </si>
  <si>
    <t xml:space="preserve">Oppenheimer Discovery C            </t>
  </si>
  <si>
    <t xml:space="preserve">Oppenheimer Value I                </t>
  </si>
  <si>
    <t xml:space="preserve">American Century Ultra R           </t>
  </si>
  <si>
    <t xml:space="preserve">Columbia Global Strategic Equity C </t>
  </si>
  <si>
    <t xml:space="preserve">Fidelity Adv Equity Growth C       </t>
  </si>
  <si>
    <t xml:space="preserve">Templeton Foreign Adv              </t>
  </si>
  <si>
    <t xml:space="preserve">Templeton Growth R                 </t>
  </si>
  <si>
    <t xml:space="preserve">Invesco Developing Markets R6      </t>
  </si>
  <si>
    <t xml:space="preserve">T Rowe Price Science and Tech Adv  </t>
  </si>
  <si>
    <t xml:space="preserve">Vanguard Emg Mkts Stk Idx Investor </t>
  </si>
  <si>
    <t xml:space="preserve">Victory Special Value C            </t>
  </si>
  <si>
    <t xml:space="preserve">Waddell &amp; Reed Adv Accumulative B  </t>
  </si>
  <si>
    <t xml:space="preserve">Westcore Mid Cap Val Div II Rtl    </t>
  </si>
  <si>
    <t xml:space="preserve">First Inv Special Situations A     </t>
  </si>
  <si>
    <t xml:space="preserve">Invesco Developing Markets Y       </t>
  </si>
  <si>
    <t xml:space="preserve">Mondrian Funds                          </t>
  </si>
  <si>
    <t xml:space="preserve">Mondrian International Equity      </t>
  </si>
  <si>
    <t xml:space="preserve">Oppenheimer Gold/Spec Min A        </t>
  </si>
  <si>
    <t xml:space="preserve">Columbia Global Strategic Equity B </t>
  </si>
  <si>
    <t xml:space="preserve">Deutsche Capital Growth A          </t>
  </si>
  <si>
    <t xml:space="preserve">GMO International Equity III       </t>
  </si>
  <si>
    <t xml:space="preserve">Janus Henderson Overseas D         </t>
  </si>
  <si>
    <t xml:space="preserve">American Century All Cap Gro Inv   </t>
  </si>
  <si>
    <t xml:space="preserve">American Century Select A          </t>
  </si>
  <si>
    <t xml:space="preserve">Fidelity Adv Energy M              </t>
  </si>
  <si>
    <t xml:space="preserve">Natixis Oakmark A                  </t>
  </si>
  <si>
    <t xml:space="preserve">CGCM Small Mid Cap Equity          </t>
  </si>
  <si>
    <t xml:space="preserve">Fidelity Advisor Europe A          </t>
  </si>
  <si>
    <t xml:space="preserve">Invesco Technology Sector Y        </t>
  </si>
  <si>
    <t xml:space="preserve">Janus Henderson Overseas I         </t>
  </si>
  <si>
    <t xml:space="preserve">Janus Henderson Overseas N         </t>
  </si>
  <si>
    <t xml:space="preserve">MFS Research International A       </t>
  </si>
  <si>
    <t xml:space="preserve">Neuberger Berman Large Cap Val Tr  </t>
  </si>
  <si>
    <t xml:space="preserve">Virtus Grow Alloc Str A            </t>
  </si>
  <si>
    <t xml:space="preserve">CGCM Large Cap Equity              </t>
  </si>
  <si>
    <t xml:space="preserve">Federated MDT MidCap Growth B      </t>
  </si>
  <si>
    <t xml:space="preserve">Goldman Sachs LC Gro Insights Inst </t>
  </si>
  <si>
    <t xml:space="preserve">Harding Loevner Funds                   </t>
  </si>
  <si>
    <t xml:space="preserve">Harding Loevner Intl Equity Inst   </t>
  </si>
  <si>
    <t xml:space="preserve">GAMCO Growth A                     </t>
  </si>
  <si>
    <t xml:space="preserve">GAMCO Growth AAA                   </t>
  </si>
  <si>
    <t xml:space="preserve">JPMorgan Growth and Income A       </t>
  </si>
  <si>
    <t xml:space="preserve">JPMorgan US Small Company I        </t>
  </si>
  <si>
    <t xml:space="preserve">ClearBridge All Cap Value B        </t>
  </si>
  <si>
    <t xml:space="preserve">Delaware US Growth A               </t>
  </si>
  <si>
    <t xml:space="preserve">MassMutual Premier Value Adm       </t>
  </si>
  <si>
    <t xml:space="preserve">MFS International Growth Fund I    </t>
  </si>
  <si>
    <t xml:space="preserve">Pear Tree PanAgora Emg Mkts Ord    </t>
  </si>
  <si>
    <t xml:space="preserve">BlackRock Eurofund Inv A           </t>
  </si>
  <si>
    <t xml:space="preserve">Deutsche CROCI Equity Dividend A   </t>
  </si>
  <si>
    <t xml:space="preserve">Eaton Vance Tax-Mgd Growth 1.1 C   </t>
  </si>
  <si>
    <t xml:space="preserve">Federated MDT MidCap Growth C      </t>
  </si>
  <si>
    <t>ClearBridge International Growth FI</t>
  </si>
  <si>
    <t xml:space="preserve">Oppenheimer Intl Growth B          </t>
  </si>
  <si>
    <t xml:space="preserve">Sextant Funds                           </t>
  </si>
  <si>
    <t xml:space="preserve">Sextant International Investor     </t>
  </si>
  <si>
    <t xml:space="preserve">American Century All Cap Gro I     </t>
  </si>
  <si>
    <t xml:space="preserve">Highland Total Return Y            </t>
  </si>
  <si>
    <t xml:space="preserve">ICON Consumer Discretionary S      </t>
  </si>
  <si>
    <t xml:space="preserve">Nationwide Inst Service            </t>
  </si>
  <si>
    <t xml:space="preserve">Oppenheimer Capital Appr R         </t>
  </si>
  <si>
    <t xml:space="preserve">Oppenheimer Rising Dividends R     </t>
  </si>
  <si>
    <t xml:space="preserve">AB Sm Cap Growth Adv               </t>
  </si>
  <si>
    <t xml:space="preserve">Federated Max-Cap Index R          </t>
  </si>
  <si>
    <t xml:space="preserve">Oppenheimer Gold/Spec Min Y        </t>
  </si>
  <si>
    <t xml:space="preserve">Oppenheimer Intl Growth C          </t>
  </si>
  <si>
    <t xml:space="preserve">PNC Multi-Factor Large Cap Value A </t>
  </si>
  <si>
    <t xml:space="preserve">T Rowe Price European Stk          </t>
  </si>
  <si>
    <t xml:space="preserve">USAA Income Stock Fund             </t>
  </si>
  <si>
    <t xml:space="preserve">Victory RS Growth A                </t>
  </si>
  <si>
    <t xml:space="preserve">American Century Inc and Gr R      </t>
  </si>
  <si>
    <t xml:space="preserve">Dreyfus Appreciation Inv           </t>
  </si>
  <si>
    <t xml:space="preserve">Eaton Vance Tax-Mgd Growth 1.1 B   </t>
  </si>
  <si>
    <t xml:space="preserve">Invesco Exchange                   </t>
  </si>
  <si>
    <t xml:space="preserve">MFS Growth Fund A                  </t>
  </si>
  <si>
    <t xml:space="preserve">Putnam Research Fund M             </t>
  </si>
  <si>
    <t xml:space="preserve">Schwab MarketTrack Growth Port Inv </t>
  </si>
  <si>
    <t xml:space="preserve">Sit Mid Cap Growth Fund            </t>
  </si>
  <si>
    <t xml:space="preserve">Commerce Value                     </t>
  </si>
  <si>
    <t xml:space="preserve">Franklin Growth Allocation R       </t>
  </si>
  <si>
    <t xml:space="preserve">Gabelli Gold AAA                   </t>
  </si>
  <si>
    <t xml:space="preserve">GAMCO Global Telecom C             </t>
  </si>
  <si>
    <t xml:space="preserve">Putnam Global Equity Fd A          </t>
  </si>
  <si>
    <t xml:space="preserve">Berkshire Funds                         </t>
  </si>
  <si>
    <t xml:space="preserve">Berkshire Focus Fund               </t>
  </si>
  <si>
    <t xml:space="preserve">Buffalo Mutual Funds                    </t>
  </si>
  <si>
    <t xml:space="preserve">Buffalo Flexible Income Fund       </t>
  </si>
  <si>
    <t xml:space="preserve">Fidelity Adv Large Cap Fund C      </t>
  </si>
  <si>
    <t xml:space="preserve">Templeton Global Smaller Co Adv    </t>
  </si>
  <si>
    <t xml:space="preserve">Gabelli Gold A                     </t>
  </si>
  <si>
    <t xml:space="preserve">T Rowe Price Science and Tech      </t>
  </si>
  <si>
    <t xml:space="preserve">Waddell &amp; Reed Adv Accumulative C  </t>
  </si>
  <si>
    <t xml:space="preserve">Hartford Stock HLS IB              </t>
  </si>
  <si>
    <t xml:space="preserve">Macquarie Pooled Tr-Lbr Sel Itl Eq </t>
  </si>
  <si>
    <t xml:space="preserve">Russell Investments US Core Eq S   </t>
  </si>
  <si>
    <t xml:space="preserve">AdvisorOne Funds                        </t>
  </si>
  <si>
    <t xml:space="preserve">AdvisorOne CLS Glbl Dvsfd Eq N     </t>
  </si>
  <si>
    <t xml:space="preserve">Dreyfus Intl Equity I              </t>
  </si>
  <si>
    <t xml:space="preserve">USAA Growth &amp; Income Fund          </t>
  </si>
  <si>
    <t xml:space="preserve">AMG Mgrs M&amp;C Growth I              </t>
  </si>
  <si>
    <t xml:space="preserve">Invesco Charter R5                 </t>
  </si>
  <si>
    <t xml:space="preserve">Invesco Developing Markets R5      </t>
  </si>
  <si>
    <t xml:space="preserve">Janus Henderson Research Svc       </t>
  </si>
  <si>
    <t xml:space="preserve">Allianz Global Investors                </t>
  </si>
  <si>
    <t xml:space="preserve">AllianzGI Focused Growth C         </t>
  </si>
  <si>
    <t>Templeton Inst-International Eq Prm</t>
  </si>
  <si>
    <t xml:space="preserve">Lord Abbett Affiliated R2          </t>
  </si>
  <si>
    <t xml:space="preserve">BlackRock Exchange Port BlkRk      </t>
  </si>
  <si>
    <t xml:space="preserve">Deutsche Science and Tech A        </t>
  </si>
  <si>
    <t xml:space="preserve">Fidelity Select Commun Equip Port  </t>
  </si>
  <si>
    <t xml:space="preserve">Franklin Equity Inc R              </t>
  </si>
  <si>
    <t xml:space="preserve">J Hancock VIT Science &amp; Tech I     </t>
  </si>
  <si>
    <t xml:space="preserve">ClearBridge Value FI               </t>
  </si>
  <si>
    <t xml:space="preserve">Russell Investments Tx-Mgd US LC E </t>
  </si>
  <si>
    <t xml:space="preserve">Russell Investments US Core Eq I   </t>
  </si>
  <si>
    <t xml:space="preserve">Deutsche Mid Cap Growth C          </t>
  </si>
  <si>
    <t xml:space="preserve">Invesco Summit P                   </t>
  </si>
  <si>
    <t xml:space="preserve">Putnam Multi-Cap Growth Fund Y     </t>
  </si>
  <si>
    <t xml:space="preserve">Fidelity Adv Emerging Asia C       </t>
  </si>
  <si>
    <t xml:space="preserve">MFS Research International R6      </t>
  </si>
  <si>
    <t xml:space="preserve">Tweedy Browne Funds                     </t>
  </si>
  <si>
    <t xml:space="preserve">Tweedy Browne Value Fund           </t>
  </si>
  <si>
    <t xml:space="preserve">American Century Growth R          </t>
  </si>
  <si>
    <t xml:space="preserve">DFA LWAS Intl Hi Bk to Mkt Port    </t>
  </si>
  <si>
    <t xml:space="preserve">Fidelity Adv Equity Income M       </t>
  </si>
  <si>
    <t xml:space="preserve">Fidelity Advisor Worldwide M       </t>
  </si>
  <si>
    <t xml:space="preserve">J Hancock VIT Science &amp; Tech NAV   </t>
  </si>
  <si>
    <t xml:space="preserve">JPMorgan Investor Growth C         </t>
  </si>
  <si>
    <t xml:space="preserve">Neuberger Berman Large Cap Val Inv </t>
  </si>
  <si>
    <t xml:space="preserve">Oppenheimer Value Y                </t>
  </si>
  <si>
    <t xml:space="preserve">RidgeWorth Funds                        </t>
  </si>
  <si>
    <t xml:space="preserve">Virtus Ceredex Lg Cap Val Eq C     </t>
  </si>
  <si>
    <t xml:space="preserve">Deutsche CROCI Equity Dividend S   </t>
  </si>
  <si>
    <t xml:space="preserve">Deutsche Science and Tech S        </t>
  </si>
  <si>
    <t xml:space="preserve">Domini Impact Equity Inst          </t>
  </si>
  <si>
    <t xml:space="preserve">Dreyfus LgCap Eq I                 </t>
  </si>
  <si>
    <t xml:space="preserve">Fidelity Adv Capital Devp Class A  </t>
  </si>
  <si>
    <t xml:space="preserve">Fidelity Adv Stock Selector AC A   </t>
  </si>
  <si>
    <t xml:space="preserve">JPMorgan Equity Income C           </t>
  </si>
  <si>
    <t xml:space="preserve">MassMutual Premier Intl Equity R5  </t>
  </si>
  <si>
    <t xml:space="preserve">Deutsche Small Cap Value C         </t>
  </si>
  <si>
    <t xml:space="preserve">Fidelity Adv International Disc M  </t>
  </si>
  <si>
    <t xml:space="preserve">Lord Abbett Affiliated R3          </t>
  </si>
  <si>
    <t xml:space="preserve">SunAmerica VAL Co I Sc&amp;Tech Fd     </t>
  </si>
  <si>
    <t xml:space="preserve">BlackRock Latin America Inv C      </t>
  </si>
  <si>
    <t xml:space="preserve">BMO Large Cap Value I              </t>
  </si>
  <si>
    <t xml:space="preserve">BMO Large-Cap Growth A             </t>
  </si>
  <si>
    <t xml:space="preserve">Putnam Research Fund R             </t>
  </si>
  <si>
    <t xml:space="preserve">Victory RS Growth Y                </t>
  </si>
  <si>
    <t xml:space="preserve">Virtus Vontobel Foreign Opptys A   </t>
  </si>
  <si>
    <t xml:space="preserve">Wilshire Funds                          </t>
  </si>
  <si>
    <t xml:space="preserve">Wilshire Large Co Val Inv          </t>
  </si>
  <si>
    <t xml:space="preserve">DFA International Value Inst       </t>
  </si>
  <si>
    <t xml:space="preserve">Dreyfus Lrg Cap Gr Inst            </t>
  </si>
  <si>
    <t xml:space="preserve">Fidelity Adv Energy A              </t>
  </si>
  <si>
    <t xml:space="preserve">Fidelity Equity Income I           </t>
  </si>
  <si>
    <t xml:space="preserve">Gabelli Gold I                     </t>
  </si>
  <si>
    <t xml:space="preserve">Glenmede Strategic Equity          </t>
  </si>
  <si>
    <t xml:space="preserve">Goldman Sachs US Eqty Insights Svc </t>
  </si>
  <si>
    <t xml:space="preserve">JPMorgan Tax Aware Equity C        </t>
  </si>
  <si>
    <t xml:space="preserve">Templeton Growth A                 </t>
  </si>
  <si>
    <t xml:space="preserve">MFS Growth Fund R4                 </t>
  </si>
  <si>
    <t xml:space="preserve">American Century Ultra A           </t>
  </si>
  <si>
    <t xml:space="preserve">American Funds                          </t>
  </si>
  <si>
    <t xml:space="preserve">Emerging Markets Growth            </t>
  </si>
  <si>
    <t xml:space="preserve">Columbia Dividend Opportunity C    </t>
  </si>
  <si>
    <t xml:space="preserve">MainStay Large Cap Growth Fd C     </t>
  </si>
  <si>
    <t xml:space="preserve">MassMutual Premier Intl Equity I   </t>
  </si>
  <si>
    <t>Natixis Loomis Sayles Growth Fund Y</t>
  </si>
  <si>
    <t xml:space="preserve">Neuberger Berman MidCap Gr Adv     </t>
  </si>
  <si>
    <t xml:space="preserve">ClearBridge International Growth I </t>
  </si>
  <si>
    <t xml:space="preserve">MainStay Large Cap Growth Fd B     </t>
  </si>
  <si>
    <t xml:space="preserve">Nuveen Large Cap Growth Opps A     </t>
  </si>
  <si>
    <t xml:space="preserve">Russell Investments US Def Eq E    </t>
  </si>
  <si>
    <t xml:space="preserve">American Century Select Inv        </t>
  </si>
  <si>
    <t xml:space="preserve">Deutsche Capital Growth S          </t>
  </si>
  <si>
    <t xml:space="preserve">American Century Equity Growth R   </t>
  </si>
  <si>
    <t xml:space="preserve">Columbia Dividend Opportunity B    </t>
  </si>
  <si>
    <t xml:space="preserve">AB Discovery Gro A                 </t>
  </si>
  <si>
    <t xml:space="preserve">Fidelity Adv Growth and Income M   </t>
  </si>
  <si>
    <t xml:space="preserve">Fidelity Freedom 2030              </t>
  </si>
  <si>
    <t xml:space="preserve">Templeton World A                  </t>
  </si>
  <si>
    <t xml:space="preserve">JPMorgan Large Cap Growth A        </t>
  </si>
  <si>
    <t>Neuberger Berman Large Cap Val Inst</t>
  </si>
  <si>
    <t xml:space="preserve">Neuberger Berman MidCap Gr R3      </t>
  </si>
  <si>
    <t xml:space="preserve">AMF Funds                               </t>
  </si>
  <si>
    <t xml:space="preserve">AMF Large Cap Equity Inst          </t>
  </si>
  <si>
    <t xml:space="preserve">BlackRock Eurofund Inst            </t>
  </si>
  <si>
    <t xml:space="preserve">BMO Growth Allocation R3           </t>
  </si>
  <si>
    <t xml:space="preserve">Davis New York Venture Fund B      </t>
  </si>
  <si>
    <t xml:space="preserve">Fidelity Advisor Europe I          </t>
  </si>
  <si>
    <t xml:space="preserve">Fidelity Equity Income K           </t>
  </si>
  <si>
    <t xml:space="preserve">Fidelity Europe                    </t>
  </si>
  <si>
    <t xml:space="preserve">ClearBridge All Cap Value C        </t>
  </si>
  <si>
    <t xml:space="preserve">Oak Assoc-Pin Oak Equity           </t>
  </si>
  <si>
    <t xml:space="preserve">Putnam Global Equity Fd Y          </t>
  </si>
  <si>
    <t xml:space="preserve">Steward Mutual Funds                    </t>
  </si>
  <si>
    <t xml:space="preserve">Steward SMCap Enh Idx Indv         </t>
  </si>
  <si>
    <t xml:space="preserve">TETON Westwood Equity C            </t>
  </si>
  <si>
    <t xml:space="preserve">Wells Fargo Precious Mtls A        </t>
  </si>
  <si>
    <t xml:space="preserve">Columbia Gl Energy and Nat Res B   </t>
  </si>
  <si>
    <t xml:space="preserve">Fidelity Advisor Worldwide A       </t>
  </si>
  <si>
    <t xml:space="preserve">Oppenheimer Main Street R          </t>
  </si>
  <si>
    <t xml:space="preserve">PACE Large Co Val Eq Inve P        </t>
  </si>
  <si>
    <t xml:space="preserve">Virtus Vontobel Global Opptys A    </t>
  </si>
  <si>
    <t xml:space="preserve">AB Relative Value B                </t>
  </si>
  <si>
    <t xml:space="preserve">Fidelity Adv Stock Select Sm Cap M </t>
  </si>
  <si>
    <t xml:space="preserve">First Inv Growth &amp; Income A        </t>
  </si>
  <si>
    <t xml:space="preserve">Templeton Growth R6                </t>
  </si>
  <si>
    <t xml:space="preserve">Goldman Sachs US Eqty Insights A   </t>
  </si>
  <si>
    <t xml:space="preserve">MFS Mass Investors Gr Stk B        </t>
  </si>
  <si>
    <t xml:space="preserve">Oppenheimer Rising Dividends A     </t>
  </si>
  <si>
    <t xml:space="preserve">Prudential Jennison Blend A        </t>
  </si>
  <si>
    <t xml:space="preserve">Prudential Jennison Growth B       </t>
  </si>
  <si>
    <t xml:space="preserve">Virtus Grow Alloc Str I            </t>
  </si>
  <si>
    <t xml:space="preserve">American Funds EuroPacific Gr 529C </t>
  </si>
  <si>
    <t xml:space="preserve">Columbia Gl Energy and Nat Res C   </t>
  </si>
  <si>
    <t xml:space="preserve">Delaware US Growth I               </t>
  </si>
  <si>
    <t xml:space="preserve">Prudential Jennison Growth C       </t>
  </si>
  <si>
    <t xml:space="preserve">AB Discovery Gro Z                 </t>
  </si>
  <si>
    <t xml:space="preserve">American Century Inc and Gr A      </t>
  </si>
  <si>
    <t xml:space="preserve">American Century Select R6         </t>
  </si>
  <si>
    <t xml:space="preserve">BMO Growth Allocation Y            </t>
  </si>
  <si>
    <t xml:space="preserve">Hartford Value Opportunities C     </t>
  </si>
  <si>
    <t xml:space="preserve">Pear Tree Polaris Sm Cap Ord       </t>
  </si>
  <si>
    <t xml:space="preserve">Principal Financial Group               </t>
  </si>
  <si>
    <t xml:space="preserve">Principal SAM Consv Growth C       </t>
  </si>
  <si>
    <t xml:space="preserve">AB Relative Value C                </t>
  </si>
  <si>
    <t xml:space="preserve">DFA International Value II Inst    </t>
  </si>
  <si>
    <t xml:space="preserve">Fidelity Adv Stock Select Sm Cap A </t>
  </si>
  <si>
    <t xml:space="preserve">MFS Research International I       </t>
  </si>
  <si>
    <t xml:space="preserve">Oberweis Small Cap Opportunity Inv </t>
  </si>
  <si>
    <t xml:space="preserve">RIM Funds                               </t>
  </si>
  <si>
    <t xml:space="preserve">Rainier Large Cap Equity Original  </t>
  </si>
  <si>
    <t xml:space="preserve">BlackRock Basic Value R            </t>
  </si>
  <si>
    <t xml:space="preserve">Fidelity Equity Dividend Income    </t>
  </si>
  <si>
    <t xml:space="preserve">Franklin Growth Allocation A       </t>
  </si>
  <si>
    <t xml:space="preserve">Templeton World R6                 </t>
  </si>
  <si>
    <t xml:space="preserve">Hartford Value Opportunities B     </t>
  </si>
  <si>
    <t xml:space="preserve">Integrity Viking Funds                  </t>
  </si>
  <si>
    <t xml:space="preserve">Integrity Growth &amp; Income A        </t>
  </si>
  <si>
    <t xml:space="preserve">MFS Growth Fund I                  </t>
  </si>
  <si>
    <t xml:space="preserve">MFS Mass Investors Trust A         </t>
  </si>
  <si>
    <t xml:space="preserve">Neuberger Berman Focus A           </t>
  </si>
  <si>
    <t xml:space="preserve">PNC Multi-Factor Large Cap Value I </t>
  </si>
  <si>
    <t xml:space="preserve">Prudential Jennison Value A        </t>
  </si>
  <si>
    <t xml:space="preserve">SEI Instl Managed Tr-Sm Cap Gr F   </t>
  </si>
  <si>
    <t xml:space="preserve">Sentinel Sustainable Core Oppor A  </t>
  </si>
  <si>
    <t xml:space="preserve">Templeton Foreign Smaller Co A     </t>
  </si>
  <si>
    <t xml:space="preserve">Hartford Stock HLS IA              </t>
  </si>
  <si>
    <t xml:space="preserve">JPMorgan Large Cap Value A         </t>
  </si>
  <si>
    <t xml:space="preserve">Oppenheimer Capital Appr A         </t>
  </si>
  <si>
    <t xml:space="preserve">Vanguard LifeStrategy Growth Inv   </t>
  </si>
  <si>
    <t xml:space="preserve">Virtus Vontobel Foreign Opptys I   </t>
  </si>
  <si>
    <t xml:space="preserve">William Blair Funds                     </t>
  </si>
  <si>
    <t xml:space="preserve">William Blair Growth N             </t>
  </si>
  <si>
    <t xml:space="preserve">American Funds EuroPacific Gr C    </t>
  </si>
  <si>
    <t xml:space="preserve">Federated MDT MidCap Growth R6     </t>
  </si>
  <si>
    <t xml:space="preserve">Loomis Sayles Funds                     </t>
  </si>
  <si>
    <t xml:space="preserve">Loomis Sayles Sm Cp Gr Ret         </t>
  </si>
  <si>
    <t xml:space="preserve">Neuberger Berman Focus Adv         </t>
  </si>
  <si>
    <t xml:space="preserve">Nuveen Large Cap Value R3          </t>
  </si>
  <si>
    <t xml:space="preserve">Russell Investments Tx-Mgd US LC S </t>
  </si>
  <si>
    <t xml:space="preserve">TETON Westwood Sm Cap Equity A     </t>
  </si>
  <si>
    <t xml:space="preserve">Virtus Vontobel Global Opptys I    </t>
  </si>
  <si>
    <t xml:space="preserve">BMO Growth Allocation I            </t>
  </si>
  <si>
    <t xml:space="preserve">Davis Financial B                  </t>
  </si>
  <si>
    <t xml:space="preserve">Davis New York Venture Fund C      </t>
  </si>
  <si>
    <t xml:space="preserve">Deutsche Small Cap Core A          </t>
  </si>
  <si>
    <t xml:space="preserve">Lazard Emerging Markets Open       </t>
  </si>
  <si>
    <t xml:space="preserve">MFS Research A                     </t>
  </si>
  <si>
    <t xml:space="preserve">Wells Fargo Asset Alloc A          </t>
  </si>
  <si>
    <t xml:space="preserve">American Funds EuroPacific Gr R1   </t>
  </si>
  <si>
    <t xml:space="preserve">American Funds EuroPacific Gr R2   </t>
  </si>
  <si>
    <t xml:space="preserve">Fidelity Adv International Disc A  </t>
  </si>
  <si>
    <t xml:space="preserve">Janus Henderson Research Inst      </t>
  </si>
  <si>
    <t xml:space="preserve">BMO Growth Allocation R6           </t>
  </si>
  <si>
    <t xml:space="preserve">DFA International Value III Inst   </t>
  </si>
  <si>
    <t xml:space="preserve">Fidelity Adv Equity Income A       </t>
  </si>
  <si>
    <t xml:space="preserve">Invesco Energy Inv                 </t>
  </si>
  <si>
    <t xml:space="preserve">ClearBridge Appreciation B         </t>
  </si>
  <si>
    <t xml:space="preserve">Neuberger Berman Focus Tr          </t>
  </si>
  <si>
    <t xml:space="preserve">BMO Aggressive Allocation R3       </t>
  </si>
  <si>
    <t xml:space="preserve">Dreyfus Wrldwde Growth A           </t>
  </si>
  <si>
    <t xml:space="preserve">Fidelity Adv China Region Fd C     </t>
  </si>
  <si>
    <t xml:space="preserve">Fidelity Equity Dividend Income K  </t>
  </si>
  <si>
    <t xml:space="preserve">Invesco Global Sm and Mid Cp Gro A </t>
  </si>
  <si>
    <t xml:space="preserve">Janus Henderson Overseas Svc       </t>
  </si>
  <si>
    <t xml:space="preserve">JPMorgan US Equity C               </t>
  </si>
  <si>
    <t xml:space="preserve">Capital Management Investment Trust     </t>
  </si>
  <si>
    <t xml:space="preserve">Capital Management Mid-Cap Inv     </t>
  </si>
  <si>
    <t xml:space="preserve">Deutsche Global Macro A            </t>
  </si>
  <si>
    <t xml:space="preserve">Templeton World Adv                </t>
  </si>
  <si>
    <t xml:space="preserve">Franklin Equity Inc A              </t>
  </si>
  <si>
    <t xml:space="preserve">J Hancock Regional Bank B          </t>
  </si>
  <si>
    <t xml:space="preserve">ClearBridge Large Cap Value C      </t>
  </si>
  <si>
    <t xml:space="preserve">Pear Tree PanAgora Emg Mkts Inst   </t>
  </si>
  <si>
    <t xml:space="preserve">BMO Large-Cap Growth Y             </t>
  </si>
  <si>
    <t xml:space="preserve">MFS Core Equity C                  </t>
  </si>
  <si>
    <t xml:space="preserve">Victory RS Value C                 </t>
  </si>
  <si>
    <t xml:space="preserve">Victory S&amp;P 500 Index A            </t>
  </si>
  <si>
    <t xml:space="preserve">Waddell &amp; Reed Adv Vanguard B      </t>
  </si>
  <si>
    <t xml:space="preserve">American Century Growth A          </t>
  </si>
  <si>
    <t xml:space="preserve">Franklin Growth Allocation R6      </t>
  </si>
  <si>
    <t xml:space="preserve">Franklin Real Estate Sec C         </t>
  </si>
  <si>
    <t xml:space="preserve">Ivy Core Equity Y                  </t>
  </si>
  <si>
    <t xml:space="preserve">MFS Core Equity B                  </t>
  </si>
  <si>
    <t xml:space="preserve">BMO Aggressive Allocation Y        </t>
  </si>
  <si>
    <t xml:space="preserve">ClearBridge Dividend Strategy B    </t>
  </si>
  <si>
    <t xml:space="preserve">Wells Fargo Dscpld US Core A       </t>
  </si>
  <si>
    <t xml:space="preserve">Alger Small Cap Growth Inst I      </t>
  </si>
  <si>
    <t xml:space="preserve">Dreyfus Emerging Markets C         </t>
  </si>
  <si>
    <t xml:space="preserve">Fidelity Adv Stock Selector AC I   </t>
  </si>
  <si>
    <t xml:space="preserve">JPMorgan Disciplined Equity A      </t>
  </si>
  <si>
    <t xml:space="preserve">JPMorgan Growth and Income I       </t>
  </si>
  <si>
    <t xml:space="preserve">SEI Instl Managed Tr-Lg Cap Val F  </t>
  </si>
  <si>
    <t xml:space="preserve">Wilshire Large Co Val Inst         </t>
  </si>
  <si>
    <t xml:space="preserve">American Century Select I          </t>
  </si>
  <si>
    <t xml:space="preserve">Federated Max-Cap Index Svc        </t>
  </si>
  <si>
    <t xml:space="preserve">Fidelity Disciplined Equity Fd     </t>
  </si>
  <si>
    <t xml:space="preserve">Templeton Foreign Smaller Co R6    </t>
  </si>
  <si>
    <t xml:space="preserve">MFS Mid-Cap Growth A               </t>
  </si>
  <si>
    <t xml:space="preserve">Russell Investments US Def Eq S    </t>
  </si>
  <si>
    <t xml:space="preserve">UBS US Large Cap Eq A              </t>
  </si>
  <si>
    <t xml:space="preserve">Fidelity Stock Selector All Cap    </t>
  </si>
  <si>
    <t xml:space="preserve">Hotchkis &amp; Wiley Funds                  </t>
  </si>
  <si>
    <t xml:space="preserve">Hotchkis and Wiley Large Cap Val C </t>
  </si>
  <si>
    <t xml:space="preserve">Natixis Loomis Sayles Value Adm    </t>
  </si>
  <si>
    <t xml:space="preserve">Oppenheimer Discovery R            </t>
  </si>
  <si>
    <t xml:space="preserve">Wells Fargo Emerg Mkts Eq C        </t>
  </si>
  <si>
    <t xml:space="preserve">Wells Fargo Index A                </t>
  </si>
  <si>
    <t xml:space="preserve">BMO Aggressive Allocation I        </t>
  </si>
  <si>
    <t xml:space="preserve">Franklin Equity Inc R6             </t>
  </si>
  <si>
    <t xml:space="preserve">American Century Ultra Inv         </t>
  </si>
  <si>
    <t xml:space="preserve">Columbia Large Cap Enh Core R      </t>
  </si>
  <si>
    <t xml:space="preserve">Columbia Large Cap Growth R        </t>
  </si>
  <si>
    <t xml:space="preserve">Templeton Growth Adv               </t>
  </si>
  <si>
    <t xml:space="preserve">Goldman Sachs Capital Growth Svc   </t>
  </si>
  <si>
    <t xml:space="preserve">Russell Investments US Def Eq I    </t>
  </si>
  <si>
    <t xml:space="preserve">AB Discovery Gro Adv               </t>
  </si>
  <si>
    <t xml:space="preserve">AllianzGI Focused Growth R         </t>
  </si>
  <si>
    <t xml:space="preserve">BMO Aggressive Allocation R-6      </t>
  </si>
  <si>
    <t xml:space="preserve">Columbia Global Strategic Equity R </t>
  </si>
  <si>
    <t xml:space="preserve">Commerce Mid Cap Growth            </t>
  </si>
  <si>
    <t xml:space="preserve">Croft Funds Corporation                 </t>
  </si>
  <si>
    <t xml:space="preserve">Croft Value R                      </t>
  </si>
  <si>
    <t xml:space="preserve">Franklin Growth Allocation Adv     </t>
  </si>
  <si>
    <t xml:space="preserve">Fidelity Adv Growth and Income A   </t>
  </si>
  <si>
    <t xml:space="preserve">Invesco Energy Y                   </t>
  </si>
  <si>
    <t xml:space="preserve">JPMorgan Large Cap Growth I        </t>
  </si>
  <si>
    <t xml:space="preserve">MainStay S&amp;P 500 Index A           </t>
  </si>
  <si>
    <t xml:space="preserve">MFS Mass Investors Trust R4        </t>
  </si>
  <si>
    <t xml:space="preserve">Nuveen Large Cap Growth Opps I     </t>
  </si>
  <si>
    <t xml:space="preserve">Torray Funds                            </t>
  </si>
  <si>
    <t xml:space="preserve">Torray                             </t>
  </si>
  <si>
    <t xml:space="preserve">Victory Diversified Stk C          </t>
  </si>
  <si>
    <t xml:space="preserve">Westcore Large Cap Dividend Rtl    </t>
  </si>
  <si>
    <t xml:space="preserve">Invesco Global Sm and Mid Cp Gro Y </t>
  </si>
  <si>
    <t xml:space="preserve">Pioneer Fund R                     </t>
  </si>
  <si>
    <t xml:space="preserve">American Century Equity Growth A   </t>
  </si>
  <si>
    <t xml:space="preserve">Fidelity Disciplined Equity K      </t>
  </si>
  <si>
    <t xml:space="preserve">Fidelity Stock Selector All Cap K  </t>
  </si>
  <si>
    <t xml:space="preserve">MFS Research R6                    </t>
  </si>
  <si>
    <t xml:space="preserve">Prudential QMA Stock Index A       </t>
  </si>
  <si>
    <t xml:space="preserve">Waddell &amp; Reed Adv Vanguard C      </t>
  </si>
  <si>
    <t xml:space="preserve">AB Lg Cap Growth A                 </t>
  </si>
  <si>
    <t xml:space="preserve">BMO Mid-Cap Growth R-3             </t>
  </si>
  <si>
    <t xml:space="preserve">Dreyfus S&amp;P 500 Index Fund         </t>
  </si>
  <si>
    <t xml:space="preserve">Eagle Growth and Income A          </t>
  </si>
  <si>
    <t xml:space="preserve">Franklin Equity Inc Adv            </t>
  </si>
  <si>
    <t xml:space="preserve">Neuberger Berman MidCap Gr A       </t>
  </si>
  <si>
    <t xml:space="preserve">Sentinel Sustainable Core Oppor I  </t>
  </si>
  <si>
    <t xml:space="preserve">BMO Large-Cap Growth I             </t>
  </si>
  <si>
    <t xml:space="preserve">Columbia Contrarian Core C         </t>
  </si>
  <si>
    <t xml:space="preserve">Columbia Select Large-Cap Value B  </t>
  </si>
  <si>
    <t xml:space="preserve">Fidelity Adv Energy I              </t>
  </si>
  <si>
    <t xml:space="preserve">Franklin Small-Mid Cap Growth C    </t>
  </si>
  <si>
    <t xml:space="preserve">JPMorgan Equity Income R2          </t>
  </si>
  <si>
    <t xml:space="preserve">JPMorgan Equity Index A            </t>
  </si>
  <si>
    <t xml:space="preserve">Columbia Contrarian Core B         </t>
  </si>
  <si>
    <t xml:space="preserve">Columbia Large Cap Index A         </t>
  </si>
  <si>
    <t xml:space="preserve">Columbia Select Large-Cap Value C  </t>
  </si>
  <si>
    <t xml:space="preserve">Fidelity Adv Equity Growth M       </t>
  </si>
  <si>
    <t xml:space="preserve">Janus Henderson Growth and Inc C   </t>
  </si>
  <si>
    <t xml:space="preserve">Victory Special Value R            </t>
  </si>
  <si>
    <t xml:space="preserve">JPMorgan Large Cap Value I         </t>
  </si>
  <si>
    <t xml:space="preserve">MSIF International Equity A        </t>
  </si>
  <si>
    <t xml:space="preserve">Natixis Loomis Sayles Value A      </t>
  </si>
  <si>
    <t xml:space="preserve">Oppenheimer Main Street A          </t>
  </si>
  <si>
    <t xml:space="preserve">Oppenheimer Rising Dividends Y     </t>
  </si>
  <si>
    <t xml:space="preserve">Russell Investments US Def Eq Y    </t>
  </si>
  <si>
    <t xml:space="preserve">AB Lg Cap Growth Z                 </t>
  </si>
  <si>
    <t xml:space="preserve">Clearwater Investment Trust             </t>
  </si>
  <si>
    <t xml:space="preserve">Clearwater Core Equity             </t>
  </si>
  <si>
    <t xml:space="preserve">Fidelity Adv Capital Devp Class I  </t>
  </si>
  <si>
    <t xml:space="preserve">Neuberger Berman Focus Inv         </t>
  </si>
  <si>
    <t xml:space="preserve">Oppenheimer Intl Growth R          </t>
  </si>
  <si>
    <t xml:space="preserve">Prudential Jennison Blend Z        </t>
  </si>
  <si>
    <t xml:space="preserve">USAA World Growth Fund             </t>
  </si>
  <si>
    <t xml:space="preserve">American Century Inc and Gr Inv    </t>
  </si>
  <si>
    <t xml:space="preserve">Fidelity Focused Stock Fund        </t>
  </si>
  <si>
    <t xml:space="preserve">Goldman Sachs Capital Growth A     </t>
  </si>
  <si>
    <t xml:space="preserve">JPMorgan Large Cap Growth R5       </t>
  </si>
  <si>
    <t xml:space="preserve">ClearBridge Value I                </t>
  </si>
  <si>
    <t xml:space="preserve">MFS Mid-Cap Growth R4              </t>
  </si>
  <si>
    <t xml:space="preserve">TETON Westwood Sm Cap Equity AAA   </t>
  </si>
  <si>
    <t xml:space="preserve">American Funds EuroPacific Gr R2E  </t>
  </si>
  <si>
    <t xml:space="preserve">Cutler Funds                            </t>
  </si>
  <si>
    <t xml:space="preserve">Cutler Equity                      </t>
  </si>
  <si>
    <t xml:space="preserve">Templeton Foreign Smaller Co Adv   </t>
  </si>
  <si>
    <t xml:space="preserve">Franklin Mutual Shares C           </t>
  </si>
  <si>
    <t xml:space="preserve">JPMorgan Large Cap Growth R6       </t>
  </si>
  <si>
    <t xml:space="preserve">ClearBridge Appreciation C         </t>
  </si>
  <si>
    <t xml:space="preserve">Voya VP Index Plus Large Cap I     </t>
  </si>
  <si>
    <t xml:space="preserve">AllianzGI Focused Growth P         </t>
  </si>
  <si>
    <t xml:space="preserve">SEI Inst Inv Large Cap A           </t>
  </si>
  <si>
    <t xml:space="preserve">Wells Fargo Sm Co Gro A            </t>
  </si>
  <si>
    <t xml:space="preserve">iShares S&amp;P 500 Index Investor A   </t>
  </si>
  <si>
    <t xml:space="preserve">Nuveen Large Cap Value A           </t>
  </si>
  <si>
    <t xml:space="preserve">Putnam Research Fund A             </t>
  </si>
  <si>
    <t xml:space="preserve">T Rowe Price Growth and Inc        </t>
  </si>
  <si>
    <t xml:space="preserve">Victory S&amp;P 500 Index Y            </t>
  </si>
  <si>
    <t xml:space="preserve">William Blair Growth I             </t>
  </si>
  <si>
    <t xml:space="preserve">BlackRock Natural Resource Inv A   </t>
  </si>
  <si>
    <t xml:space="preserve">Deutsche Global Macro S            </t>
  </si>
  <si>
    <t xml:space="preserve">Dreyfus Active MidCap C            </t>
  </si>
  <si>
    <t xml:space="preserve">Prudential Jennison Value Z        </t>
  </si>
  <si>
    <t xml:space="preserve">Wells Fargo Index C                </t>
  </si>
  <si>
    <t xml:space="preserve">Wilshire Large Co Growth Inv       </t>
  </si>
  <si>
    <t xml:space="preserve">BlackRock Basic Value Inv A        </t>
  </si>
  <si>
    <t xml:space="preserve">Columbia Large Cap Growth E        </t>
  </si>
  <si>
    <t xml:space="preserve">Deutsche Small Cap Growth A        </t>
  </si>
  <si>
    <t xml:space="preserve">Lord Abbett Affiliated A           </t>
  </si>
  <si>
    <t xml:space="preserve">Neuberger Berman MidCap Gr Tr      </t>
  </si>
  <si>
    <t xml:space="preserve">Nicholas Funds                          </t>
  </si>
  <si>
    <t xml:space="preserve">Nicholas                           </t>
  </si>
  <si>
    <t xml:space="preserve">SEI Instl Managed Tr-S&amp;P 500 Idx F </t>
  </si>
  <si>
    <t xml:space="preserve">AllianzGI Mid-Cap C                </t>
  </si>
  <si>
    <t xml:space="preserve">Deutsche Small Cap Core S          </t>
  </si>
  <si>
    <t xml:space="preserve">Eaton Vance Large-Cap Value C      </t>
  </si>
  <si>
    <t xml:space="preserve">Federated Clover Value Fund C      </t>
  </si>
  <si>
    <t>Invesco Global Sm and Mid Cp Gro R5</t>
  </si>
  <si>
    <t xml:space="preserve">Lazard Emerging Markets Inst       </t>
  </si>
  <si>
    <t xml:space="preserve">Neuberger Berman Focus Inst        </t>
  </si>
  <si>
    <t xml:space="preserve">Columbia Large Cap Growth V        </t>
  </si>
  <si>
    <t xml:space="preserve">Eaton Vance Tax-Mgd Growth 1.2 A   </t>
  </si>
  <si>
    <t xml:space="preserve">JPMorgan Large Cap Value R6        </t>
  </si>
  <si>
    <t xml:space="preserve">T Rowe Price Cap Opportunity       </t>
  </si>
  <si>
    <t xml:space="preserve">Voya Global Equity A               </t>
  </si>
  <si>
    <t xml:space="preserve">Voya Large-Cap Growth C            </t>
  </si>
  <si>
    <t xml:space="preserve">Wells Fargo Dscpld US Core Adm     </t>
  </si>
  <si>
    <t xml:space="preserve">Alger LargeCap Growth I2           </t>
  </si>
  <si>
    <t xml:space="preserve">Fidelity Adv Large Cap Fund M      </t>
  </si>
  <si>
    <t xml:space="preserve">Janus Henderson Overseas Inst      </t>
  </si>
  <si>
    <t xml:space="preserve">Loomis Sayles Sm Cp Gr Inst        </t>
  </si>
  <si>
    <t xml:space="preserve">MFS Mass Investors Trust I         </t>
  </si>
  <si>
    <t xml:space="preserve">Washington Mutual Investors 529C   </t>
  </si>
  <si>
    <t xml:space="preserve">Calvert Equity Portfolio C         </t>
  </si>
  <si>
    <t xml:space="preserve">Dreyfus Strategic Value C          </t>
  </si>
  <si>
    <t xml:space="preserve">Fidelity Adv Emerging Asia M       </t>
  </si>
  <si>
    <t xml:space="preserve">JPMorgan Large Cap Value R5        </t>
  </si>
  <si>
    <t xml:space="preserve">RMB Capital Funds                       </t>
  </si>
  <si>
    <t xml:space="preserve">RMB A                              </t>
  </si>
  <si>
    <t xml:space="preserve">State Farm Funds                        </t>
  </si>
  <si>
    <t xml:space="preserve">State Farm Growth                  </t>
  </si>
  <si>
    <t xml:space="preserve">State Street S&amp;P 500 Index VIS 1   </t>
  </si>
  <si>
    <t xml:space="preserve">American Century Growth Inv        </t>
  </si>
  <si>
    <t xml:space="preserve">American Century Ultra I           </t>
  </si>
  <si>
    <t>BlackRock Advntg Sm Cap Gr Eq Inv A</t>
  </si>
  <si>
    <t xml:space="preserve">Deutsche Global Macro Inst         </t>
  </si>
  <si>
    <t xml:space="preserve">Dreyfus Wrldwde Growth I           </t>
  </si>
  <si>
    <t xml:space="preserve">Fidelity Adv Capital Devp Class O  </t>
  </si>
  <si>
    <t xml:space="preserve">Fidelity Fund Fd                   </t>
  </si>
  <si>
    <t xml:space="preserve">Templeton China World C            </t>
  </si>
  <si>
    <t xml:space="preserve">MFS Research I                     </t>
  </si>
  <si>
    <t xml:space="preserve">SunAmerica VAL Co I Stk Idx Fd     </t>
  </si>
  <si>
    <t xml:space="preserve">Fidelity Adv Equity Income I       </t>
  </si>
  <si>
    <t xml:space="preserve">Nuveen Mid Cap Value A             </t>
  </si>
  <si>
    <t xml:space="preserve">Value Line Larger Companies Fc Inv </t>
  </si>
  <si>
    <t xml:space="preserve">Sanford C Bernstein Emerg Mkts Val </t>
  </si>
  <si>
    <t xml:space="preserve">Empiric Funds Inc                       </t>
  </si>
  <si>
    <t xml:space="preserve">Empiric 2500 A                     </t>
  </si>
  <si>
    <t xml:space="preserve">MFS Global Growth Fund A           </t>
  </si>
  <si>
    <t xml:space="preserve">Nicholas II N                      </t>
  </si>
  <si>
    <t xml:space="preserve">Northern Stock Index               </t>
  </si>
  <si>
    <t xml:space="preserve">Oppenheimer Capital Appr Y         </t>
  </si>
  <si>
    <t xml:space="preserve">Pear Tree Polaris Sm Cap Inst      </t>
  </si>
  <si>
    <t xml:space="preserve">iShares S&amp;P 500 Index Service      </t>
  </si>
  <si>
    <t xml:space="preserve">Columbia Large Cap Growth A        </t>
  </si>
  <si>
    <t xml:space="preserve">Guggenheim World Equity Income A   </t>
  </si>
  <si>
    <t xml:space="preserve">MFS Mid-Cap Growth I               </t>
  </si>
  <si>
    <t xml:space="preserve">Oak Ridge Funds                         </t>
  </si>
  <si>
    <t xml:space="preserve">Oak Ridge Sm Cap Growth C          </t>
  </si>
  <si>
    <t xml:space="preserve">Washington Mutual Investors C      </t>
  </si>
  <si>
    <t xml:space="preserve">Bullfinch Funds                         </t>
  </si>
  <si>
    <t xml:space="preserve">Bullfinch Unrestricted Series      </t>
  </si>
  <si>
    <t>Goldman Sachs US Eqty Insights Inst</t>
  </si>
  <si>
    <t xml:space="preserve">Hartford Dividend &amp; Growth B       </t>
  </si>
  <si>
    <t xml:space="preserve">JPMorgan Tax Aware Equity A        </t>
  </si>
  <si>
    <t xml:space="preserve">Neuberger Berman MidCap Gr Inv     </t>
  </si>
  <si>
    <t xml:space="preserve">American Century New Opps C        </t>
  </si>
  <si>
    <t xml:space="preserve">Washington Mutual Investors R1     </t>
  </si>
  <si>
    <t xml:space="preserve">Washington Mutual Investors R2     </t>
  </si>
  <si>
    <t xml:space="preserve">Columbia Large Cap Enh Core A      </t>
  </si>
  <si>
    <t xml:space="preserve">Prudential Jennison Growth R       </t>
  </si>
  <si>
    <t xml:space="preserve">UBS US Large Cap Eq P              </t>
  </si>
  <si>
    <t xml:space="preserve">Wells Fargo Index Adm              </t>
  </si>
  <si>
    <t xml:space="preserve">Columbia Large Cap Growth T        </t>
  </si>
  <si>
    <t xml:space="preserve">Deutsche Small Cap Growth S        </t>
  </si>
  <si>
    <t xml:space="preserve">Fidelity Adv Equity Growth A       </t>
  </si>
  <si>
    <t xml:space="preserve">GMO US Equity Allocation III       </t>
  </si>
  <si>
    <t xml:space="preserve">AB Glbl Real Est Inv B             </t>
  </si>
  <si>
    <t xml:space="preserve">Columbia Dividend Opportunity R    </t>
  </si>
  <si>
    <t xml:space="preserve">Columbia Global Strategic Equity A </t>
  </si>
  <si>
    <t xml:space="preserve">DFA Asia Pacif Sm Comp Ptf Inst    </t>
  </si>
  <si>
    <t xml:space="preserve">Federated Max-Cap Index Inst       </t>
  </si>
  <si>
    <t xml:space="preserve">Fidelity Adv China Region Fd M     </t>
  </si>
  <si>
    <t xml:space="preserve">Fidelity Fund K                    </t>
  </si>
  <si>
    <t xml:space="preserve">MFS Global Equity Fund B           </t>
  </si>
  <si>
    <t xml:space="preserve">MFS Global Equity Fund C           </t>
  </si>
  <si>
    <t xml:space="preserve">Oppenheimer Discovery A            </t>
  </si>
  <si>
    <t xml:space="preserve">Principal SAM Consv Growth R1      </t>
  </si>
  <si>
    <t xml:space="preserve">Wells Fargo Sm Co Gro Adm          </t>
  </si>
  <si>
    <t xml:space="preserve">American Funds Amer Mutual Fd 529C </t>
  </si>
  <si>
    <t xml:space="preserve">Columbia Global Strategic Equity Y </t>
  </si>
  <si>
    <t xml:space="preserve">Columbia Large Cap Enh Core R4     </t>
  </si>
  <si>
    <t xml:space="preserve">T Rowe Price Equity Index 500      </t>
  </si>
  <si>
    <t xml:space="preserve">American Century Equity Growth Inv </t>
  </si>
  <si>
    <t xml:space="preserve">Deutsche Equity 500 Index S        </t>
  </si>
  <si>
    <t xml:space="preserve">Dreyfus Stock Index Fund I         </t>
  </si>
  <si>
    <t xml:space="preserve">Federated Clover Value Fund B      </t>
  </si>
  <si>
    <t xml:space="preserve">JPMorgan Equity Income A           </t>
  </si>
  <si>
    <t xml:space="preserve">MainStay Large Cap Growth Fd R3    </t>
  </si>
  <si>
    <t xml:space="preserve">Pioneer Fund A                     </t>
  </si>
  <si>
    <t xml:space="preserve">T Rowe Price New Era               </t>
  </si>
  <si>
    <t xml:space="preserve">Victory RS Value R                 </t>
  </si>
  <si>
    <t xml:space="preserve">VY Templeton Glb Growth Svc        </t>
  </si>
  <si>
    <t xml:space="preserve">American Century Inc and Gr I      </t>
  </si>
  <si>
    <t xml:space="preserve">Fidelity Select Natural Resources  </t>
  </si>
  <si>
    <t xml:space="preserve">Harding Loevner Global Eq Adv      </t>
  </si>
  <si>
    <t xml:space="preserve">Hennessy Funds                          </t>
  </si>
  <si>
    <t xml:space="preserve">Hennessy Cornerstone Val Investor  </t>
  </si>
  <si>
    <t xml:space="preserve">Delaware Emerging Markets C        </t>
  </si>
  <si>
    <t xml:space="preserve">MainStay S&amp;P 500 Index I           </t>
  </si>
  <si>
    <t xml:space="preserve">TETON Westwood Equity A            </t>
  </si>
  <si>
    <t xml:space="preserve">Alger Capital Appreciation Focus I </t>
  </si>
  <si>
    <t xml:space="preserve">American Funds EuroPacific Gr 529E </t>
  </si>
  <si>
    <t xml:space="preserve">BlackRock Advntg Sm Cap Gr Eq Svc  </t>
  </si>
  <si>
    <t xml:space="preserve">BMO Mid-Cap Growth A               </t>
  </si>
  <si>
    <t xml:space="preserve">Columbia Global Strategic Equity K </t>
  </si>
  <si>
    <t xml:space="preserve">Columbia Large Cap Enh Core R5     </t>
  </si>
  <si>
    <t xml:space="preserve">Deutsche Small Cap Growth Inst     </t>
  </si>
  <si>
    <t xml:space="preserve">Federated MDT MidCap Growth A      </t>
  </si>
  <si>
    <t xml:space="preserve">USAA S&amp;P 500 Index Members         </t>
  </si>
  <si>
    <t xml:space="preserve">VY T Rowe Price Eqty Income Svc    </t>
  </si>
  <si>
    <t xml:space="preserve">AB Glbl Real Est Inv C             </t>
  </si>
  <si>
    <t xml:space="preserve">American Funds Amer Mutual Fd R2   </t>
  </si>
  <si>
    <t xml:space="preserve">American Funds EuroPacific Gr R3   </t>
  </si>
  <si>
    <t xml:space="preserve">Davis New York Venture Fund R      </t>
  </si>
  <si>
    <t xml:space="preserve">Flex-funds                              </t>
  </si>
  <si>
    <t xml:space="preserve">Meeder Infrastructure Retail       </t>
  </si>
  <si>
    <t xml:space="preserve">JPMorgan Equity Index I            </t>
  </si>
  <si>
    <t xml:space="preserve">Prudential QMA Stock Index Z       </t>
  </si>
  <si>
    <t xml:space="preserve">SEI Instl Managed Tr-S&amp;P 500 Idx E </t>
  </si>
  <si>
    <t xml:space="preserve">American Funds Amer Mutual Fd C    </t>
  </si>
  <si>
    <t xml:space="preserve">American Funds Amer Mutual Fd R1   </t>
  </si>
  <si>
    <t xml:space="preserve">American Funds Ins Ser Intl 4      </t>
  </si>
  <si>
    <t xml:space="preserve">Columbia Gl Energy and Nat Res R   </t>
  </si>
  <si>
    <t>Columbia Global Strategic Equity R4</t>
  </si>
  <si>
    <t xml:space="preserve">Manning &amp; Napier Funds                  </t>
  </si>
  <si>
    <t xml:space="preserve">Manning &amp; Napier World Oppty S     </t>
  </si>
  <si>
    <t xml:space="preserve">MSIF International Equity I        </t>
  </si>
  <si>
    <t xml:space="preserve">Voya SmallCap Opportunities C      </t>
  </si>
  <si>
    <t xml:space="preserve">AB Lg Cap Growth Adv               </t>
  </si>
  <si>
    <t xml:space="preserve">American Century Value C           </t>
  </si>
  <si>
    <t xml:space="preserve">Columbia Large Cap Index R5        </t>
  </si>
  <si>
    <t xml:space="preserve">Columbia Large Cap Index Y         </t>
  </si>
  <si>
    <t xml:space="preserve">Columbia Large Cap Index Z         </t>
  </si>
  <si>
    <t xml:space="preserve">Harbor International Inv           </t>
  </si>
  <si>
    <t xml:space="preserve">Hartford Dividend &amp; Growth C       </t>
  </si>
  <si>
    <t xml:space="preserve">Putnam Global Health Care Fund C   </t>
  </si>
  <si>
    <t xml:space="preserve">Voya Global Equity I               </t>
  </si>
  <si>
    <t xml:space="preserve">Hartford Value Opportunities R3    </t>
  </si>
  <si>
    <t xml:space="preserve">J Hancock VIT 500 Index B Nav      </t>
  </si>
  <si>
    <t xml:space="preserve">JPMorgan Disciplined Equity L      </t>
  </si>
  <si>
    <t xml:space="preserve">JPMorgan Investor Growth A         </t>
  </si>
  <si>
    <t xml:space="preserve">Natixis Loomis Sayles Value Y      </t>
  </si>
  <si>
    <t xml:space="preserve">Putnam Research Fund Y             </t>
  </si>
  <si>
    <t xml:space="preserve">Columbia Diversified Equity Inc C  </t>
  </si>
  <si>
    <t>Dreyfus Instl S&amp;P 500 Stock Index I</t>
  </si>
  <si>
    <t xml:space="preserve">Eaton Vance Tax-Mgd Growth 1.1 A   </t>
  </si>
  <si>
    <t xml:space="preserve">Fidelity Adv Consumer Discre C     </t>
  </si>
  <si>
    <t xml:space="preserve">Fidelity Adv Growth and Income I   </t>
  </si>
  <si>
    <t xml:space="preserve">GAMCO Global Telecom A             </t>
  </si>
  <si>
    <t xml:space="preserve">GAMCO Global Telecom AAA           </t>
  </si>
  <si>
    <t xml:space="preserve">JPMorgan US Equity A               </t>
  </si>
  <si>
    <t xml:space="preserve">Oppenheimer Intl Growth A          </t>
  </si>
  <si>
    <t xml:space="preserve">Putnam Global Health Care Fund B   </t>
  </si>
  <si>
    <t xml:space="preserve">Vanguard Growth &amp; Income Inv       </t>
  </si>
  <si>
    <t>Columbia Global Strategic Equity R5</t>
  </si>
  <si>
    <t xml:space="preserve">Fidelity Adv Utilities C           </t>
  </si>
  <si>
    <t xml:space="preserve">Fidelity Stock Selector Small Cap  </t>
  </si>
  <si>
    <t xml:space="preserve">Fidelity Emerging Asia Fund        </t>
  </si>
  <si>
    <t xml:space="preserve">Franklin Growth C                  </t>
  </si>
  <si>
    <t xml:space="preserve">Lord Abbett Developing Growth B    </t>
  </si>
  <si>
    <t xml:space="preserve">Principal SAM Consv Growth R2      </t>
  </si>
  <si>
    <t xml:space="preserve">Principal SAM Strat Growth R1      </t>
  </si>
  <si>
    <t xml:space="preserve">Virtus Ceredex Lg Cap Val Eq A     </t>
  </si>
  <si>
    <t xml:space="preserve">Touchstone International SC Inst   </t>
  </si>
  <si>
    <t xml:space="preserve">UMB Scout Funds                         </t>
  </si>
  <si>
    <t xml:space="preserve">Scout Internl Fund                 </t>
  </si>
  <si>
    <t xml:space="preserve">Columbia Diversified Equity Inc B  </t>
  </si>
  <si>
    <t xml:space="preserve">Columbia Mid Cap Growth B          </t>
  </si>
  <si>
    <t xml:space="preserve">Fidelity Adv Large Cap Fund A      </t>
  </si>
  <si>
    <t xml:space="preserve">Fidelity Advisor Worldwide I       </t>
  </si>
  <si>
    <t>Fidelity International Discovery Fd</t>
  </si>
  <si>
    <t xml:space="preserve">J Hancock Classic Value R1         </t>
  </si>
  <si>
    <t xml:space="preserve">Lord Abbett Developing Growth C    </t>
  </si>
  <si>
    <t xml:space="preserve">Neuberger Berman MidCap Gr Inst    </t>
  </si>
  <si>
    <t xml:space="preserve">State Street US Equity VIS 1       </t>
  </si>
  <si>
    <t xml:space="preserve">iShares S&amp;P 500 Index Inst         </t>
  </si>
  <si>
    <t xml:space="preserve">Fidelity Worldwide Fund            </t>
  </si>
  <si>
    <t xml:space="preserve">Nuveen Large Cap Value I           </t>
  </si>
  <si>
    <t xml:space="preserve">Pioneer Equity Income C            </t>
  </si>
  <si>
    <t xml:space="preserve">SSgA S&amp;P 500 Index N               </t>
  </si>
  <si>
    <t xml:space="preserve">T Rowe Price Equity Income R       </t>
  </si>
  <si>
    <t xml:space="preserve">BlackRock Natural Resource Inst    </t>
  </si>
  <si>
    <t xml:space="preserve">iShares S&amp;P 500 Index K            </t>
  </si>
  <si>
    <t xml:space="preserve">Columbia Mid Cap Growth C          </t>
  </si>
  <si>
    <t xml:space="preserve">Deutsche Equity 500 Index Inst     </t>
  </si>
  <si>
    <t xml:space="preserve">Eaton Vance Tax-Mgd Growth 1.2 I   </t>
  </si>
  <si>
    <t xml:space="preserve">Federated MDT MidCap Growth Inst   </t>
  </si>
  <si>
    <t xml:space="preserve">Fidelity Adv Stock Select Sm Cap I </t>
  </si>
  <si>
    <t xml:space="preserve">GMO International Eq Alloc III     </t>
  </si>
  <si>
    <t xml:space="preserve">Hartford Small Company B           </t>
  </si>
  <si>
    <t xml:space="preserve">Hartford Small Company C           </t>
  </si>
  <si>
    <t xml:space="preserve">Oppenheimer Discovery I            </t>
  </si>
  <si>
    <t xml:space="preserve">Oppenheimer Main Street Y          </t>
  </si>
  <si>
    <t xml:space="preserve">Prudential QMA Stock Index I       </t>
  </si>
  <si>
    <t xml:space="preserve">Waddell &amp; Reed Adv Core Invest A   </t>
  </si>
  <si>
    <t xml:space="preserve">Fidelity Adv China Region Fd A     </t>
  </si>
  <si>
    <t xml:space="preserve">Fidelity Adv International Disc I  </t>
  </si>
  <si>
    <t xml:space="preserve">Meeder Quantex Retail              </t>
  </si>
  <si>
    <t xml:space="preserve">American Century Growth I          </t>
  </si>
  <si>
    <t xml:space="preserve">Columbia Large Cap Enh Core Y      </t>
  </si>
  <si>
    <t xml:space="preserve">JPMorgan Disciplined Equity R6     </t>
  </si>
  <si>
    <t xml:space="preserve">Pioneer Mid Cap Value C            </t>
  </si>
  <si>
    <t xml:space="preserve">Wright Selected Blue Chip Equities </t>
  </si>
  <si>
    <t xml:space="preserve">AllianzGI Focused Growth A         </t>
  </si>
  <si>
    <t xml:space="preserve">American Funds Inv Co of Amer 529C </t>
  </si>
  <si>
    <t xml:space="preserve">BlackRock Basic Value Inst         </t>
  </si>
  <si>
    <t xml:space="preserve">Victory Special Value A            </t>
  </si>
  <si>
    <t xml:space="preserve">Fidelity Adv Canada C              </t>
  </si>
  <si>
    <t xml:space="preserve">Franklin Small Cap Value C         </t>
  </si>
  <si>
    <t xml:space="preserve">Harbor International Admin         </t>
  </si>
  <si>
    <t xml:space="preserve">J Hancock Classic Value R3         </t>
  </si>
  <si>
    <t xml:space="preserve">Fidelity 500 Index Inv             </t>
  </si>
  <si>
    <t xml:space="preserve">Franklin Mutual Beacon C           </t>
  </si>
  <si>
    <t xml:space="preserve">Vanguard 500 Index Inv             </t>
  </si>
  <si>
    <t xml:space="preserve">Aberdeen Asset Management Funds         </t>
  </si>
  <si>
    <t xml:space="preserve">Aberdeen Select Intl Equity A      </t>
  </si>
  <si>
    <t xml:space="preserve">AllianzGI Focused Growth Admn      </t>
  </si>
  <si>
    <t xml:space="preserve">Invesco American Value B           </t>
  </si>
  <si>
    <t xml:space="preserve">Schwab S&amp;P 500 Index Fund          </t>
  </si>
  <si>
    <t xml:space="preserve">Shelton Funds                           </t>
  </si>
  <si>
    <t xml:space="preserve">S&amp;P 500 Index Direct               </t>
  </si>
  <si>
    <t xml:space="preserve">Vanguard Value Index Inv           </t>
  </si>
  <si>
    <t xml:space="preserve">Wilshire Large Co Growth Inst      </t>
  </si>
  <si>
    <t xml:space="preserve">Fidelity International Discovery K </t>
  </si>
  <si>
    <t xml:space="preserve">Fidelity 500 Index Pr              </t>
  </si>
  <si>
    <t xml:space="preserve">Principal SAM Strat Growth R2      </t>
  </si>
  <si>
    <t xml:space="preserve">VY Invesco Gr &amp; Inc Svc            </t>
  </si>
  <si>
    <t xml:space="preserve">American Funds Inv Co of Amer C    </t>
  </si>
  <si>
    <t xml:space="preserve">American Funds SMALLCAP World 529C </t>
  </si>
  <si>
    <t xml:space="preserve">Aquila Funds                            </t>
  </si>
  <si>
    <t xml:space="preserve">Aquila Three Peaks Oppty Gro C     </t>
  </si>
  <si>
    <t xml:space="preserve">Columbia Large Cap Growth K        </t>
  </si>
  <si>
    <t xml:space="preserve">Deutsche Global Small Cap C        </t>
  </si>
  <si>
    <t xml:space="preserve">Deutsche Mid Cap Growth A          </t>
  </si>
  <si>
    <t xml:space="preserve">Deutsche Small Cap Value A         </t>
  </si>
  <si>
    <t xml:space="preserve">Nuveen Mid Cap Value I             </t>
  </si>
  <si>
    <t xml:space="preserve">Shelton Core Value Direct          </t>
  </si>
  <si>
    <t xml:space="preserve">Touchstone International SC A      </t>
  </si>
  <si>
    <t xml:space="preserve">American Beacon Lg Cap Val PlanAhd </t>
  </si>
  <si>
    <t xml:space="preserve">American Funds Inv Co of Amer R1   </t>
  </si>
  <si>
    <t xml:space="preserve">American Funds Inv Co of Amer R2   </t>
  </si>
  <si>
    <t xml:space="preserve">MFS Global Growth Fund I           </t>
  </si>
  <si>
    <t xml:space="preserve">Principal SAM Consv Growth J       </t>
  </si>
  <si>
    <t xml:space="preserve">Aberdeen International Sm Cap R    </t>
  </si>
  <si>
    <t xml:space="preserve">American Century Equity Growth I   </t>
  </si>
  <si>
    <t xml:space="preserve">Washington Mutual Investors R2E    </t>
  </si>
  <si>
    <t xml:space="preserve">DFA Emerging Markets Inst          </t>
  </si>
  <si>
    <t xml:space="preserve">Hotchkis and Wiley Large Cap Val R </t>
  </si>
  <si>
    <t xml:space="preserve">ClearBridge All Cap Value A        </t>
  </si>
  <si>
    <t xml:space="preserve">Neuberger Berman Socially Resp R3  </t>
  </si>
  <si>
    <t xml:space="preserve">Principal SAM Consv Growth R3      </t>
  </si>
  <si>
    <t xml:space="preserve">Third Avenue Funds                      </t>
  </si>
  <si>
    <t xml:space="preserve">Third Avenue Value Inv             </t>
  </si>
  <si>
    <t xml:space="preserve">Victory RS Mid Cap Growth C        </t>
  </si>
  <si>
    <t xml:space="preserve">Columbia Global Strategic Equity Z </t>
  </si>
  <si>
    <t xml:space="preserve">Fidelity Adv Emerging Asia A       </t>
  </si>
  <si>
    <t xml:space="preserve">Columbia Large Cap Growth R4       </t>
  </si>
  <si>
    <t xml:space="preserve">Columbia Large Cap Growth Z        </t>
  </si>
  <si>
    <t xml:space="preserve">Janus Henderson Growth and Inc R   </t>
  </si>
  <si>
    <t xml:space="preserve">Wells Fargo C&amp;B Lg Cp Val C        </t>
  </si>
  <si>
    <t xml:space="preserve">American Funds SMALLCAP World C    </t>
  </si>
  <si>
    <t xml:space="preserve">Columbia Dividend Opportunity T    </t>
  </si>
  <si>
    <t xml:space="preserve">Columbia Large Cap Enh Core Z      </t>
  </si>
  <si>
    <t xml:space="preserve">Fidelity Large Cap Stock Fund      </t>
  </si>
  <si>
    <t xml:space="preserve">MFS Mass Investors Gr Stk A        </t>
  </si>
  <si>
    <t xml:space="preserve">JPMorgan US Equity I               </t>
  </si>
  <si>
    <t xml:space="preserve">Matrix Asset Advisors Funds             </t>
  </si>
  <si>
    <t xml:space="preserve">Matrix Advisor Value Fund          </t>
  </si>
  <si>
    <t xml:space="preserve">AB Concentrated Growth Adv         </t>
  </si>
  <si>
    <t xml:space="preserve">AB Concentrated Growth Z           </t>
  </si>
  <si>
    <t xml:space="preserve">American Funds SMALLCAP World R2   </t>
  </si>
  <si>
    <t xml:space="preserve">T Rowe Price Global Stock          </t>
  </si>
  <si>
    <t xml:space="preserve">American Funds SMALLCAP World R1   </t>
  </si>
  <si>
    <t xml:space="preserve">BlackRock Latin America Inv A      </t>
  </si>
  <si>
    <t xml:space="preserve">Columbia Large Cap Growth R5       </t>
  </si>
  <si>
    <t xml:space="preserve">Franklin Rising Dividends C        </t>
  </si>
  <si>
    <t xml:space="preserve">J Hancock VIT Equity Income II     </t>
  </si>
  <si>
    <t xml:space="preserve">ClearBridge Dividend Strategy A    </t>
  </si>
  <si>
    <t xml:space="preserve">MainStay Large Cap Growth Fd R2    </t>
  </si>
  <si>
    <t xml:space="preserve">Prudential Jennison Growth A       </t>
  </si>
  <si>
    <t xml:space="preserve">USAA Precious Mtls&amp;Minerals Fund   </t>
  </si>
  <si>
    <t xml:space="preserve">Vanguard Growth Index Inv          </t>
  </si>
  <si>
    <t xml:space="preserve">Victory Diversified Stk R          </t>
  </si>
  <si>
    <t xml:space="preserve">American Beacon Holland LC Gr Inv  </t>
  </si>
  <si>
    <t xml:space="preserve">Buffalo Large Cap Fund             </t>
  </si>
  <si>
    <t xml:space="preserve">Columbia Dividend Opportunity A    </t>
  </si>
  <si>
    <t xml:space="preserve">GAMCO Global Growth C              </t>
  </si>
  <si>
    <t xml:space="preserve">Harbor Large Cap Value Inv         </t>
  </si>
  <si>
    <t xml:space="preserve">JPMorgan Tax Aware Equity I        </t>
  </si>
  <si>
    <t>Prudential Jennison Small Company B</t>
  </si>
  <si>
    <t xml:space="preserve">TETON Westwood Equity AAA          </t>
  </si>
  <si>
    <t xml:space="preserve">Victory Special Value I            </t>
  </si>
  <si>
    <t xml:space="preserve">Columbia Mid Cap Value R           </t>
  </si>
  <si>
    <t xml:space="preserve">Davis Real Estate B                </t>
  </si>
  <si>
    <t xml:space="preserve">Franklin Small-Mid Cap Growth R    </t>
  </si>
  <si>
    <t xml:space="preserve">Hartford Value Opportunities A     </t>
  </si>
  <si>
    <t xml:space="preserve">JPMorgan Equity Income I           </t>
  </si>
  <si>
    <t xml:space="preserve">Madison Funds                           </t>
  </si>
  <si>
    <t xml:space="preserve">Madison Investors Y                </t>
  </si>
  <si>
    <t xml:space="preserve">MFS Inst Intl Equity Fund          </t>
  </si>
  <si>
    <t xml:space="preserve">Oppenheimer Discovery Y            </t>
  </si>
  <si>
    <t xml:space="preserve">Principal SAM Strat Growth J       </t>
  </si>
  <si>
    <t xml:space="preserve">Schwab 1000 Index Fund             </t>
  </si>
  <si>
    <t xml:space="preserve">VanEck Emerging Mkts A             </t>
  </si>
  <si>
    <t xml:space="preserve">Vanguard Instl Index Inst          </t>
  </si>
  <si>
    <t xml:space="preserve">American Funds Amer Mutual Fd R2E  </t>
  </si>
  <si>
    <t xml:space="preserve">AMG Mgrs Cadence Mid Cap N         </t>
  </si>
  <si>
    <t xml:space="preserve">Boston Trust &amp; Walden Funds             </t>
  </si>
  <si>
    <t xml:space="preserve">Boston Trust Asset Management      </t>
  </si>
  <si>
    <t xml:space="preserve">Columbia Contrarian Core R         </t>
  </si>
  <si>
    <t xml:space="preserve">Columbia Select Large-Cap Value R  </t>
  </si>
  <si>
    <t xml:space="preserve">Nicholas Limited Edition I         </t>
  </si>
  <si>
    <t xml:space="preserve">Principal SAM Strat Growth R3      </t>
  </si>
  <si>
    <t xml:space="preserve">Prudential Jennison Natural Res B  </t>
  </si>
  <si>
    <t xml:space="preserve">Prudential Jennison Natural Res C  </t>
  </si>
  <si>
    <t xml:space="preserve">Alger Growth &amp; Income I2           </t>
  </si>
  <si>
    <t xml:space="preserve">American Funds EuroPacific Gr R4   </t>
  </si>
  <si>
    <t xml:space="preserve">BMO Mid-Cap Growth R-6             </t>
  </si>
  <si>
    <t xml:space="preserve">Brandes Funds                           </t>
  </si>
  <si>
    <t xml:space="preserve">Brandes Emerging Markets Value A   </t>
  </si>
  <si>
    <t xml:space="preserve">Columbia Gl Energy and Nat Res A   </t>
  </si>
  <si>
    <t xml:space="preserve">Columbia Large Cap Growth Y        </t>
  </si>
  <si>
    <t xml:space="preserve">ClearBridge Appreciation R         </t>
  </si>
  <si>
    <t xml:space="preserve">Nicholas II I                      </t>
  </si>
  <si>
    <t xml:space="preserve">Vanguard Instl Index Inst Plus     </t>
  </si>
  <si>
    <t xml:space="preserve">American Funds EuroPacific Gr 529A </t>
  </si>
  <si>
    <t xml:space="preserve">BlackRock Advntg Sm Cap Gr Eq Inst </t>
  </si>
  <si>
    <t xml:space="preserve">Fidelity Select Energy             </t>
  </si>
  <si>
    <t xml:space="preserve">Madison Dividend Income Y          </t>
  </si>
  <si>
    <t xml:space="preserve">Oppenheimer Intl Growth Y          </t>
  </si>
  <si>
    <t xml:space="preserve">Principal SAM Consv Growth A       </t>
  </si>
  <si>
    <t xml:space="preserve">Principal SAM Consv Growth R4      </t>
  </si>
  <si>
    <t>Prudential Jennison Small Company C</t>
  </si>
  <si>
    <t xml:space="preserve">AB Relative Value A                </t>
  </si>
  <si>
    <t xml:space="preserve">Eaton Vance Large-Cap Value R      </t>
  </si>
  <si>
    <t xml:space="preserve">JPMorgan Investor Growth I         </t>
  </si>
  <si>
    <t xml:space="preserve">Alger Mid Cap Growth Fund B        </t>
  </si>
  <si>
    <t xml:space="preserve">Columbia Dividend Opportunity R4   </t>
  </si>
  <si>
    <t xml:space="preserve">Deutsche Small Cap Value S         </t>
  </si>
  <si>
    <t xml:space="preserve">Fidelity Adv Equity Growth I       </t>
  </si>
  <si>
    <t xml:space="preserve">J Hancock Disciplined Value R1     </t>
  </si>
  <si>
    <t xml:space="preserve">Putnam Equity Income B             </t>
  </si>
  <si>
    <t xml:space="preserve">Putnam Equity Income C             </t>
  </si>
  <si>
    <t xml:space="preserve">Putnam Global Health Care Fund M   </t>
  </si>
  <si>
    <t xml:space="preserve">Vanguard Windsor-I Inv             </t>
  </si>
  <si>
    <t xml:space="preserve">Victory Sophus Emerging Markets A  </t>
  </si>
  <si>
    <t xml:space="preserve">Wells Fargo Trad Sm Cap Gr A       </t>
  </si>
  <si>
    <t xml:space="preserve">American Funds EuroPacific Gr F1   </t>
  </si>
  <si>
    <t xml:space="preserve">Franklin Mutual Shares R           </t>
  </si>
  <si>
    <t xml:space="preserve">Hennessy Large Cap Financial Inv   </t>
  </si>
  <si>
    <t xml:space="preserve">Touchstone Growth Opps A           </t>
  </si>
  <si>
    <t xml:space="preserve">Eaton Vance Tax-Mgd Growth 1.0     </t>
  </si>
  <si>
    <t xml:space="preserve">Eaton Vance Tax-Mgd Growth 1.1 I   </t>
  </si>
  <si>
    <t xml:space="preserve">Fidelity Telecom and Utilities     </t>
  </si>
  <si>
    <t xml:space="preserve">Hartford Value Opportunities R4    </t>
  </si>
  <si>
    <t xml:space="preserve">JPMorgan Equity Income R5          </t>
  </si>
  <si>
    <t xml:space="preserve">Waddell &amp; Reed Adv Accumulative A  </t>
  </si>
  <si>
    <t xml:space="preserve">BMO Mid-Cap Growth I               </t>
  </si>
  <si>
    <t xml:space="preserve">Columbia Dividend Opportunity Y    </t>
  </si>
  <si>
    <t xml:space="preserve">Columbia Dividend Opportunity Z    </t>
  </si>
  <si>
    <t xml:space="preserve">GMO Emerging Markets III           </t>
  </si>
  <si>
    <t xml:space="preserve">J Hancock Regional Bank A          </t>
  </si>
  <si>
    <t xml:space="preserve">JPMorgan Equity Income R6          </t>
  </si>
  <si>
    <t xml:space="preserve">Pioneer Fund Y                     </t>
  </si>
  <si>
    <t xml:space="preserve">Wall Street Funds                       </t>
  </si>
  <si>
    <t xml:space="preserve">Evercore Equity                    </t>
  </si>
  <si>
    <t xml:space="preserve">Washington Mutual Investors 529E   </t>
  </si>
  <si>
    <t xml:space="preserve">Artisan Funds                           </t>
  </si>
  <si>
    <t xml:space="preserve">Artisan Small Cap Fund Inv         </t>
  </si>
  <si>
    <t xml:space="preserve">Federated Clover Value Fund R      </t>
  </si>
  <si>
    <t xml:space="preserve">J Hancock Disciplined Value R3     </t>
  </si>
  <si>
    <t xml:space="preserve">MainStay Large Cap Growth Fd A     </t>
  </si>
  <si>
    <t xml:space="preserve">Schwab Core Equity Fd              </t>
  </si>
  <si>
    <t xml:space="preserve">Thompson IM Funds                       </t>
  </si>
  <si>
    <t xml:space="preserve">Thompson LargeCap                  </t>
  </si>
  <si>
    <t xml:space="preserve">VanEck Emerging Mkts Y             </t>
  </si>
  <si>
    <t xml:space="preserve">Washington Mutual Investors R3     </t>
  </si>
  <si>
    <t xml:space="preserve">Brandes Emerging Markets Value I   </t>
  </si>
  <si>
    <t xml:space="preserve">Glenmede Large Cap Value Port      </t>
  </si>
  <si>
    <t xml:space="preserve">Invesco American Value C           </t>
  </si>
  <si>
    <t xml:space="preserve">MFS Core Equity A                  </t>
  </si>
  <si>
    <t xml:space="preserve">Principal SAM Consv Growth R5      </t>
  </si>
  <si>
    <t xml:space="preserve">AB Relative Value Z                </t>
  </si>
  <si>
    <t xml:space="preserve">Bridgeway Funds                         </t>
  </si>
  <si>
    <t xml:space="preserve">Bridgeway Blue Chip 35 Index Fund  </t>
  </si>
  <si>
    <t xml:space="preserve">Capital Management Mid-Cap Inst    </t>
  </si>
  <si>
    <t xml:space="preserve">Columbia Greater China B           </t>
  </si>
  <si>
    <t xml:space="preserve">Federated MDT Large Cap Value A    </t>
  </si>
  <si>
    <t xml:space="preserve">Harbor Capital Appreciation Inv    </t>
  </si>
  <si>
    <t xml:space="preserve">Harbor Large Cap Value Admin       </t>
  </si>
  <si>
    <t xml:space="preserve">Principal SAM Strat Growth A       </t>
  </si>
  <si>
    <t xml:space="preserve">Victory RS Value A                 </t>
  </si>
  <si>
    <t xml:space="preserve">Columbia Dividend Opportunity K    </t>
  </si>
  <si>
    <t xml:space="preserve">LKCM Equity Institutional          </t>
  </si>
  <si>
    <t xml:space="preserve">Principal SAM Strat Growth R4      </t>
  </si>
  <si>
    <t xml:space="preserve">Sentinel Common Stock A            </t>
  </si>
  <si>
    <t xml:space="preserve">T Rowe Price Equity Income Adv     </t>
  </si>
  <si>
    <t xml:space="preserve">T Rowe Price New Amer Growth       </t>
  </si>
  <si>
    <t xml:space="preserve">Waddell &amp; Reed Adv Core Invest Y   </t>
  </si>
  <si>
    <t xml:space="preserve">American Funds EuroPacific Gr A    </t>
  </si>
  <si>
    <t xml:space="preserve">Davis New York Venture Fund A      </t>
  </si>
  <si>
    <t xml:space="preserve">Deutsche Mid Cap Growth S          </t>
  </si>
  <si>
    <t xml:space="preserve">Harbor International Inst          </t>
  </si>
  <si>
    <t xml:space="preserve">J Hancock Fundamental Lg Cp Cr B   </t>
  </si>
  <si>
    <t xml:space="preserve">JPMorgan Small Cap Core R5         </t>
  </si>
  <si>
    <t xml:space="preserve">Delaware Select Growth C           </t>
  </si>
  <si>
    <t xml:space="preserve">MFS Mass Investors Gr Stk R4       </t>
  </si>
  <si>
    <t xml:space="preserve">AllianzGI Focused Growth Inst      </t>
  </si>
  <si>
    <t>American Funds EuroPacific Gr 529F1</t>
  </si>
  <si>
    <t xml:space="preserve">American Funds EuroPacific Gr F3   </t>
  </si>
  <si>
    <t xml:space="preserve">American Funds Ins Ser Intl 1A     </t>
  </si>
  <si>
    <t xml:space="preserve">Franklin Real Estate Sec A         </t>
  </si>
  <si>
    <t xml:space="preserve">Virtus Ceredex Lg Cap Val Eq I     </t>
  </si>
  <si>
    <t xml:space="preserve">T Rowe Price Emerging Mkts Stk     </t>
  </si>
  <si>
    <t xml:space="preserve">American Funds EuroPacific Gr R5E  </t>
  </si>
  <si>
    <t xml:space="preserve">American Funds Inv Co of Amer R2E  </t>
  </si>
  <si>
    <t xml:space="preserve">Fidelity Adv Emerging Asia I       </t>
  </si>
  <si>
    <t xml:space="preserve">Great-West T Rowe Price Eq Inc Inv </t>
  </si>
  <si>
    <t xml:space="preserve">AllianzGI Mid-Cap R                </t>
  </si>
  <si>
    <t xml:space="preserve">Davis Opportunity B                </t>
  </si>
  <si>
    <t xml:space="preserve">Federated MDT Large Cap Value SS   </t>
  </si>
  <si>
    <t xml:space="preserve">ClearBridge Large Cap Value A      </t>
  </si>
  <si>
    <t xml:space="preserve">Columbia Dividend Opportunity R5   </t>
  </si>
  <si>
    <t xml:space="preserve">Dreyfus Emerging Markets A         </t>
  </si>
  <si>
    <t xml:space="preserve">Federated MDT Large Cap Value R6   </t>
  </si>
  <si>
    <t xml:space="preserve">Fidelity Adv Large Cap Fund I      </t>
  </si>
  <si>
    <t xml:space="preserve">Hotchkis and Wiley Large Cap Val A </t>
  </si>
  <si>
    <t xml:space="preserve">J Hancock US Global Leaders Gr R2  </t>
  </si>
  <si>
    <t xml:space="preserve">Putnam Global Health Care Fund R   </t>
  </si>
  <si>
    <t xml:space="preserve">AMG Mgrs Cadence Mid Cap I         </t>
  </si>
  <si>
    <t xml:space="preserve">Columbia Greater China C           </t>
  </si>
  <si>
    <t xml:space="preserve">JPMorgan US Equity L               </t>
  </si>
  <si>
    <t xml:space="preserve">Virtus Ceredex Lg Cap Val Eq IS    </t>
  </si>
  <si>
    <t xml:space="preserve">Third Avenue Value Inst            </t>
  </si>
  <si>
    <t xml:space="preserve">Wells Fargo Omega Growth C         </t>
  </si>
  <si>
    <t xml:space="preserve">American Funds Amer Mutual Fd 529E </t>
  </si>
  <si>
    <t xml:space="preserve">American Funds Amer Mutual Fd R3   </t>
  </si>
  <si>
    <t xml:space="preserve">Principal SAM Strat Growth R5      </t>
  </si>
  <si>
    <t xml:space="preserve">Victory Sophus Emerging Markets Y  </t>
  </si>
  <si>
    <t xml:space="preserve">American Beacon Lg Cap Val Y       </t>
  </si>
  <si>
    <t xml:space="preserve">American Century New Opps R        </t>
  </si>
  <si>
    <t xml:space="preserve">American Funds SMALLCAP World R2E  </t>
  </si>
  <si>
    <t xml:space="preserve">Eagle Small Cap Gr C               </t>
  </si>
  <si>
    <t xml:space="preserve">Masters Select Funds                    </t>
  </si>
  <si>
    <t xml:space="preserve">Litman Gregory Masters Equity Inst </t>
  </si>
  <si>
    <t xml:space="preserve">Wells Fargo Emerg Mkts Eq A        </t>
  </si>
  <si>
    <t xml:space="preserve">WesMark Funds                           </t>
  </si>
  <si>
    <t xml:space="preserve">WesMark Growth Fund                </t>
  </si>
  <si>
    <t xml:space="preserve">Aberdeen International Sm Cap A    </t>
  </si>
  <si>
    <t xml:space="preserve">Hartford Value Opportunities I     </t>
  </si>
  <si>
    <t xml:space="preserve">Janus Henderson Growth and Inc S   </t>
  </si>
  <si>
    <t xml:space="preserve">J Hancock Classic Value A          </t>
  </si>
  <si>
    <t xml:space="preserve">J Hancock Classic Value R4         </t>
  </si>
  <si>
    <t xml:space="preserve">Lazard Intl Small Cap Eq Open      </t>
  </si>
  <si>
    <t xml:space="preserve">Lord Abbett Developing Growth R2   </t>
  </si>
  <si>
    <t xml:space="preserve">Nuveen Dividend Value A            </t>
  </si>
  <si>
    <t xml:space="preserve">Columbia Contrarian Core V         </t>
  </si>
  <si>
    <t xml:space="preserve">J Hancock VIT Equity Income I      </t>
  </si>
  <si>
    <t xml:space="preserve">Neuberger Berman Socially Resp Tr  </t>
  </si>
  <si>
    <t xml:space="preserve">Oppenheimer Mid Cap Value B        </t>
  </si>
  <si>
    <t xml:space="preserve">T Rowe Price Dividend Growth       </t>
  </si>
  <si>
    <t xml:space="preserve">American Beacon Lg Cap Val Inst    </t>
  </si>
  <si>
    <t xml:space="preserve">Harbor Capital Appreciation Admin  </t>
  </si>
  <si>
    <t>Macquarie Large Cap Value Eqty Port</t>
  </si>
  <si>
    <t xml:space="preserve">Deutsche Mid Cap Growth Inst       </t>
  </si>
  <si>
    <t xml:space="preserve">Federated International Sm-Mid B   </t>
  </si>
  <si>
    <t xml:space="preserve">Federated International Sm-Mid C   </t>
  </si>
  <si>
    <t xml:space="preserve">Federated MDT Large Cap Value IS   </t>
  </si>
  <si>
    <t xml:space="preserve">Fidelity Adv Canada M              </t>
  </si>
  <si>
    <t xml:space="preserve">Hartford Value Opportunities R5    </t>
  </si>
  <si>
    <t xml:space="preserve">IMS Family of Funds                     </t>
  </si>
  <si>
    <t xml:space="preserve">IMS Capital Value Inst             </t>
  </si>
  <si>
    <t xml:space="preserve">MainStay Large Cap Growth Fd R1    </t>
  </si>
  <si>
    <t xml:space="preserve">Principal SAM Consv Growth Inst    </t>
  </si>
  <si>
    <t xml:space="preserve">American Funds EuroPacific Gr F2   </t>
  </si>
  <si>
    <t xml:space="preserve">Columbia Gl Energy and Nat Res K   </t>
  </si>
  <si>
    <t xml:space="preserve">Franklin Mutual Shares A           </t>
  </si>
  <si>
    <t xml:space="preserve">Franklin Real Estate Sec R6        </t>
  </si>
  <si>
    <t xml:space="preserve">Oppenheimer Mid Cap Value C        </t>
  </si>
  <si>
    <t xml:space="preserve">Vanguard Tot Stk Mkt Idx Inv       </t>
  </si>
  <si>
    <t xml:space="preserve">BlackRock Latin America Inst       </t>
  </si>
  <si>
    <t xml:space="preserve">Columbia Select Smaller-Cap Val C  </t>
  </si>
  <si>
    <t xml:space="preserve">Selected American Shares S         </t>
  </si>
  <si>
    <t xml:space="preserve">J Hancock US Global Leaders Gr A   </t>
  </si>
  <si>
    <t xml:space="preserve">J Hancock VIT Equity Income NAV    </t>
  </si>
  <si>
    <t xml:space="preserve">Wilshire Small Co Growth Inv       </t>
  </si>
  <si>
    <t xml:space="preserve">Columbia Contrarian Core T         </t>
  </si>
  <si>
    <t xml:space="preserve">Columbia Select Large-Cap Value T  </t>
  </si>
  <si>
    <t xml:space="preserve">Columbia Select Smaller-Cap Val B  </t>
  </si>
  <si>
    <t xml:space="preserve">Fidelity Dividend Growth Fd        </t>
  </si>
  <si>
    <t xml:space="preserve">Franklin Small-Mid Cap Growth A    </t>
  </si>
  <si>
    <t xml:space="preserve">Prudential Jennison Natural Res R  </t>
  </si>
  <si>
    <t xml:space="preserve">Victory RS Value Y                 </t>
  </si>
  <si>
    <t xml:space="preserve">American Funds EuroPacific Gr R6   </t>
  </si>
  <si>
    <t xml:space="preserve">Columbia Contrarian Core A         </t>
  </si>
  <si>
    <t xml:space="preserve">Columbia Gl Energy and Nat Res R4  </t>
  </si>
  <si>
    <t xml:space="preserve">Columbia Gl Energy and Nat Res Y   </t>
  </si>
  <si>
    <t xml:space="preserve">Columbia Gl Energy and Nat Res Z   </t>
  </si>
  <si>
    <t xml:space="preserve">Columbia Select Large-Cap Value A  </t>
  </si>
  <si>
    <t xml:space="preserve">Fidelity Adv Utilities M           </t>
  </si>
  <si>
    <t xml:space="preserve">Fidelity Diversified Intl Fd       </t>
  </si>
  <si>
    <t xml:space="preserve">Prudential Jennison Growth Z       </t>
  </si>
  <si>
    <t xml:space="preserve">Voya Large-Cap Growth A            </t>
  </si>
  <si>
    <t xml:space="preserve">American Century Value R           </t>
  </si>
  <si>
    <t xml:space="preserve">iShares Russell 2000 SC Idx Inv A  </t>
  </si>
  <si>
    <t xml:space="preserve">Fidelity Adv Consumer Discre M     </t>
  </si>
  <si>
    <t xml:space="preserve">Fidelity Blue Chip Growth Fd       </t>
  </si>
  <si>
    <t xml:space="preserve">Janus Henderson Growth and Inc A   </t>
  </si>
  <si>
    <t xml:space="preserve">MFS Mass Investors Gr Stk I        </t>
  </si>
  <si>
    <t xml:space="preserve">Columbia Diversified Equity Inc R  </t>
  </si>
  <si>
    <t xml:space="preserve">Vanguard Windsor-II Inv            </t>
  </si>
  <si>
    <t xml:space="preserve">AllianzGI Mid-Cap A                </t>
  </si>
  <si>
    <t xml:space="preserve">Invesco Growth and Income C        </t>
  </si>
  <si>
    <t xml:space="preserve">ClearBridge All Cap Value I        </t>
  </si>
  <si>
    <t xml:space="preserve">ClearBridge Appreciation A         </t>
  </si>
  <si>
    <t xml:space="preserve">ClearBridge Dividend Strategy I    </t>
  </si>
  <si>
    <t xml:space="preserve">Lord Abbett Developing Growth R3   </t>
  </si>
  <si>
    <t xml:space="preserve">Sentinel Common Stock I            </t>
  </si>
  <si>
    <t xml:space="preserve">Victory RS Mid Cap Growth R        </t>
  </si>
  <si>
    <t xml:space="preserve">Columbia Gl Energy and Nat Res R5  </t>
  </si>
  <si>
    <t xml:space="preserve">Forward Funds                           </t>
  </si>
  <si>
    <t xml:space="preserve">Salient Adapt US Eqty Inst         </t>
  </si>
  <si>
    <t xml:space="preserve">GE Investment Funds                     </t>
  </si>
  <si>
    <t xml:space="preserve">GE RSP US Equity                   </t>
  </si>
  <si>
    <t xml:space="preserve">Putnam Equity Income M             </t>
  </si>
  <si>
    <t xml:space="preserve">AB Relative Value Advisor          </t>
  </si>
  <si>
    <t xml:space="preserve">Columbia Select Large-Cap Value K  </t>
  </si>
  <si>
    <t xml:space="preserve">Franklin Growth R                  </t>
  </si>
  <si>
    <t xml:space="preserve">J Hancock Classic Value R6         </t>
  </si>
  <si>
    <t xml:space="preserve">Macquarie Emerging Markets         </t>
  </si>
  <si>
    <t xml:space="preserve">MainStay Large Cap Growth Fd I     </t>
  </si>
  <si>
    <t xml:space="preserve">Principal SAM Strat Growth Inst    </t>
  </si>
  <si>
    <t xml:space="preserve">Vanguard Tax-Managed Cap Appr Adm  </t>
  </si>
  <si>
    <t xml:space="preserve">Victory Diversified Stk A          </t>
  </si>
  <si>
    <t xml:space="preserve">American Funds Inv Co of Amer 529E </t>
  </si>
  <si>
    <t xml:space="preserve">American Funds Inv Co of Amer R3   </t>
  </si>
  <si>
    <t xml:space="preserve">Columbia Select Large-Cap Value R4 </t>
  </si>
  <si>
    <t xml:space="preserve">Columbia Select Large-Cap Value Y  </t>
  </si>
  <si>
    <t xml:space="preserve">Davis Financial A                  </t>
  </si>
  <si>
    <t xml:space="preserve">Hartford Value Opportunities Y     </t>
  </si>
  <si>
    <t xml:space="preserve">J Hancock Disciplined Value R2     </t>
  </si>
  <si>
    <t xml:space="preserve">T Rowe Price Equity Income         </t>
  </si>
  <si>
    <t xml:space="preserve">Adv Inn Cir FMC Select Fd          </t>
  </si>
  <si>
    <t xml:space="preserve">Columbia Mid Cap Growth R          </t>
  </si>
  <si>
    <t xml:space="preserve">Fidelity Dividend Growth K         </t>
  </si>
  <si>
    <t xml:space="preserve">Templeton China World A            </t>
  </si>
  <si>
    <t xml:space="preserve">Hartford Dividend &amp; Growth R3      </t>
  </si>
  <si>
    <t xml:space="preserve">J Hancock Classic Value R5         </t>
  </si>
  <si>
    <t>Prudential Jennison Small Company Q</t>
  </si>
  <si>
    <t xml:space="preserve">Wells Fargo Trad Sm Cap Gr I       </t>
  </si>
  <si>
    <t xml:space="preserve">American Funds EuroPacific Gr R5   </t>
  </si>
  <si>
    <t xml:space="preserve">Fidelity Blue Chip Growth K        </t>
  </si>
  <si>
    <t xml:space="preserve">Fidelity Diversified Intl K        </t>
  </si>
  <si>
    <t xml:space="preserve">Harbor Large Cap Value Inst        </t>
  </si>
  <si>
    <t xml:space="preserve">Waddell &amp; Reed Adv Accumulative Y  </t>
  </si>
  <si>
    <t xml:space="preserve">Columbia Select Large-Cap Value Z  </t>
  </si>
  <si>
    <t xml:space="preserve">Dreyfus Emerging Markets I         </t>
  </si>
  <si>
    <t xml:space="preserve">GMO Global Eq Allocation III       </t>
  </si>
  <si>
    <t xml:space="preserve">Vanguard Tot Stk Mkt Idx Inst      </t>
  </si>
  <si>
    <t xml:space="preserve">Franklin Small-Mid Cap Growth R6   </t>
  </si>
  <si>
    <t xml:space="preserve">J Hancock US Global Leaders Gr R6  </t>
  </si>
  <si>
    <t xml:space="preserve">Russell Investments Glbl RE Sec C  </t>
  </si>
  <si>
    <t xml:space="preserve">Washington Mutual Investors 529A   </t>
  </si>
  <si>
    <t xml:space="preserve">Dreyfus Active MidCap A            </t>
  </si>
  <si>
    <t xml:space="preserve">Franklin Small Cap Value R         </t>
  </si>
  <si>
    <t xml:space="preserve">Invesco Dividend Income Investor   </t>
  </si>
  <si>
    <t xml:space="preserve">J Hancock Disciplined Value A      </t>
  </si>
  <si>
    <t xml:space="preserve">Pioneer Equity Income R            </t>
  </si>
  <si>
    <t xml:space="preserve">American Funds SMALLCAP World 529E </t>
  </si>
  <si>
    <t xml:space="preserve">American Funds SMALLCAP World R3   </t>
  </si>
  <si>
    <t xml:space="preserve">Dreyfus Strategic Value A          </t>
  </si>
  <si>
    <t xml:space="preserve">Eaton Vance Large-Cap Value A      </t>
  </si>
  <si>
    <t xml:space="preserve">Fidelity Adv Canada A              </t>
  </si>
  <si>
    <t xml:space="preserve">Fidelity Select Ind Equipment      </t>
  </si>
  <si>
    <t xml:space="preserve">Franklin Mutual Beacon R           </t>
  </si>
  <si>
    <t xml:space="preserve">Thornburg Funds                         </t>
  </si>
  <si>
    <t xml:space="preserve">Thornburg Value C                  </t>
  </si>
  <si>
    <t xml:space="preserve">Washington Mutual Investors R4     </t>
  </si>
  <si>
    <t xml:space="preserve">JPMorgan US Small Company L        </t>
  </si>
  <si>
    <t>Prudential Jennison Small Company R</t>
  </si>
  <si>
    <t xml:space="preserve">Washington Mutual Investors F1     </t>
  </si>
  <si>
    <t xml:space="preserve">BlackRock Adv Lg Cap Gr Inv C      </t>
  </si>
  <si>
    <t xml:space="preserve">Fidelity Adv China Region Fd I     </t>
  </si>
  <si>
    <t xml:space="preserve">Fidelity Adv Technology C          </t>
  </si>
  <si>
    <t xml:space="preserve">Fidelity China Region Fund         </t>
  </si>
  <si>
    <t xml:space="preserve">Franklin Real Estate Sec Adv       </t>
  </si>
  <si>
    <t xml:space="preserve">J Hancock Disciplined Value R4     </t>
  </si>
  <si>
    <t xml:space="preserve">MFS Core Equity I                  </t>
  </si>
  <si>
    <t xml:space="preserve">Vanguard Morgan Growth Inv         </t>
  </si>
  <si>
    <t xml:space="preserve">Wells Fargo Lg Co Val Adm          </t>
  </si>
  <si>
    <t xml:space="preserve">Davis New York Venture Fund Y      </t>
  </si>
  <si>
    <t xml:space="preserve">Homestead Funds                         </t>
  </si>
  <si>
    <t xml:space="preserve">Homestead Value                    </t>
  </si>
  <si>
    <t xml:space="preserve">Neuberger Berman Socially Resp Inv </t>
  </si>
  <si>
    <t xml:space="preserve">AMG Mgrs Cadence Mid Cap Z         </t>
  </si>
  <si>
    <t xml:space="preserve">BlackRock Eq Dividend Inv B        </t>
  </si>
  <si>
    <t xml:space="preserve">Gabelli Equity Income C            </t>
  </si>
  <si>
    <t xml:space="preserve">Hotchkis and Wiley Large Cap Val I </t>
  </si>
  <si>
    <t xml:space="preserve">Prudential Jennison Natural Res Q  </t>
  </si>
  <si>
    <t xml:space="preserve">Putnam Equity Income R             </t>
  </si>
  <si>
    <t xml:space="preserve">Eaton Vance Large-Cap Value R6     </t>
  </si>
  <si>
    <t xml:space="preserve">JPMorgan Dynamic Small Cap Gr C    </t>
  </si>
  <si>
    <t xml:space="preserve">Longleaf Partners                       </t>
  </si>
  <si>
    <t xml:space="preserve">Longleaf Partners                  </t>
  </si>
  <si>
    <t xml:space="preserve">Nicholas Equity Income             </t>
  </si>
  <si>
    <t xml:space="preserve">Brandes Intl Equity Fund I         </t>
  </si>
  <si>
    <t xml:space="preserve">Calvert Equity Portfolio A         </t>
  </si>
  <si>
    <t xml:space="preserve">Dreyfus Active MidCap I            </t>
  </si>
  <si>
    <t xml:space="preserve">Fidelity Trend Fund                </t>
  </si>
  <si>
    <t xml:space="preserve">Hartford Small Company R3          </t>
  </si>
  <si>
    <t xml:space="preserve">JPMorgan Intrepid Euro C           </t>
  </si>
  <si>
    <t xml:space="preserve">MainStay Epoch US Small Cap B      </t>
  </si>
  <si>
    <t xml:space="preserve">T Rowe Price Spectrum Growth       </t>
  </si>
  <si>
    <t xml:space="preserve">American Century New Opps A        </t>
  </si>
  <si>
    <t xml:space="preserve">BlackRock Eq Dividend Inv C        </t>
  </si>
  <si>
    <t xml:space="preserve">Fidelity Select Computers Port     </t>
  </si>
  <si>
    <t xml:space="preserve">ClearBridge Large Cap Value I      </t>
  </si>
  <si>
    <t xml:space="preserve">MainStay Epoch US Small Cap C      </t>
  </si>
  <si>
    <t xml:space="preserve">Pioneer Mid Cap Value R            </t>
  </si>
  <si>
    <t xml:space="preserve">Victory Diversified Stk I          </t>
  </si>
  <si>
    <t xml:space="preserve">Wells Fargo Emerg Mkts Eq Adm      </t>
  </si>
  <si>
    <t xml:space="preserve">Federated Clover Value Fund A      </t>
  </si>
  <si>
    <t xml:space="preserve">Harbor Capital Appreciation Inst   </t>
  </si>
  <si>
    <t xml:space="preserve">Invesco Dividend Income R6         </t>
  </si>
  <si>
    <t xml:space="preserve">Janus Henderson Growth and Inc T   </t>
  </si>
  <si>
    <t xml:space="preserve">Oak Ridge Sm Cap Growth A          </t>
  </si>
  <si>
    <t xml:space="preserve">Putnam International Capital Opp B </t>
  </si>
  <si>
    <t xml:space="preserve">Tocqueville                        </t>
  </si>
  <si>
    <t xml:space="preserve">AllianzGI Mid-Cap Administrative   </t>
  </si>
  <si>
    <t xml:space="preserve">American Funds Amer Mutual Fd 529A </t>
  </si>
  <si>
    <t xml:space="preserve">J Hancock Classic Value I          </t>
  </si>
  <si>
    <t xml:space="preserve">Lord Abbett Developing Growth A    </t>
  </si>
  <si>
    <t xml:space="preserve">Nuveen Dividend Value I            </t>
  </si>
  <si>
    <t xml:space="preserve">Provident Trust Funds                   </t>
  </si>
  <si>
    <t xml:space="preserve">Provident Trust Strategy Fd        </t>
  </si>
  <si>
    <t xml:space="preserve">Putnam International Capital Opp C </t>
  </si>
  <si>
    <t xml:space="preserve">AB Glbl Real Est Inv A             </t>
  </si>
  <si>
    <t xml:space="preserve">American Funds Amer Mutual Fd R4   </t>
  </si>
  <si>
    <t xml:space="preserve">Columbia Contrarian Core K         </t>
  </si>
  <si>
    <t xml:space="preserve">MFS Global Equity Fund A           </t>
  </si>
  <si>
    <t xml:space="preserve">MFS Intl Value Fund C              </t>
  </si>
  <si>
    <t xml:space="preserve">T Rowe Price Latin America         </t>
  </si>
  <si>
    <t xml:space="preserve">T Rowe Price Personal Strat Gro    </t>
  </si>
  <si>
    <t xml:space="preserve">Washington Mutual Investors 529F1  </t>
  </si>
  <si>
    <t xml:space="preserve">Dean Small Cap Value               </t>
  </si>
  <si>
    <t xml:space="preserve">Franklin Rising Dividends R        </t>
  </si>
  <si>
    <t xml:space="preserve">Invesco Dividend Income Y          </t>
  </si>
  <si>
    <t xml:space="preserve">J Hancock VIT Value II             </t>
  </si>
  <si>
    <t xml:space="preserve">Delaware Emerging Markets A        </t>
  </si>
  <si>
    <t xml:space="preserve">MFS Intl Value Fund B              </t>
  </si>
  <si>
    <t xml:space="preserve">Sound Shore Funds                       </t>
  </si>
  <si>
    <t xml:space="preserve">Sound Shore Investor               </t>
  </si>
  <si>
    <t xml:space="preserve">Wilshire Small Co Growth Inst      </t>
  </si>
  <si>
    <t xml:space="preserve">American Funds Amer Mutual Fd F1   </t>
  </si>
  <si>
    <t xml:space="preserve">Fidelity Pacific Basin             </t>
  </si>
  <si>
    <t xml:space="preserve">Janus Henderson Growth and Inc D   </t>
  </si>
  <si>
    <t xml:space="preserve">Janus Henderson Research C         </t>
  </si>
  <si>
    <t>Neuberger Berman Socially Resp Inst</t>
  </si>
  <si>
    <t xml:space="preserve">Washington Mutual Investors A      </t>
  </si>
  <si>
    <t xml:space="preserve">Washington Mutual Investors F3     </t>
  </si>
  <si>
    <t xml:space="preserve">Davis Financial Y                  </t>
  </si>
  <si>
    <t xml:space="preserve">Hartford Dividend &amp; Growth A       </t>
  </si>
  <si>
    <t xml:space="preserve">Washington Mutual Investors R5E    </t>
  </si>
  <si>
    <t xml:space="preserve">Columbia Contrarian Core R4        </t>
  </si>
  <si>
    <t xml:space="preserve">Columbia Contrarian Core Z         </t>
  </si>
  <si>
    <t xml:space="preserve">Dreyfus Strategic Value I          </t>
  </si>
  <si>
    <t xml:space="preserve">Invesco Comstock C                 </t>
  </si>
  <si>
    <t xml:space="preserve">J Hancock Disciplined Value R5     </t>
  </si>
  <si>
    <t xml:space="preserve">Turner Funds                            </t>
  </si>
  <si>
    <t xml:space="preserve">Turner Small Cap Growth Fund       </t>
  </si>
  <si>
    <t xml:space="preserve">Voya SmallCap Opportunities A      </t>
  </si>
  <si>
    <t xml:space="preserve">Alger Capital Appreciation B       </t>
  </si>
  <si>
    <t xml:space="preserve">Franklin Small-Mid Cap Growth Adv  </t>
  </si>
  <si>
    <t xml:space="preserve">Lazard Intl Small Cap Eq Inst      </t>
  </si>
  <si>
    <t xml:space="preserve">American Century Value A           </t>
  </si>
  <si>
    <t xml:space="preserve">American Funds New Economy 529C    </t>
  </si>
  <si>
    <t xml:space="preserve">iShares Russell 2000 SC Idx Inst   </t>
  </si>
  <si>
    <t xml:space="preserve">Fidelity Adv Utilities A           </t>
  </si>
  <si>
    <t xml:space="preserve">Janus Henderson Growth and Inc I   </t>
  </si>
  <si>
    <t xml:space="preserve">Oppenheimer Equity Income B        </t>
  </si>
  <si>
    <t xml:space="preserve">Waddell &amp; Reed Adv Vanguard A      </t>
  </si>
  <si>
    <t xml:space="preserve">Buffalo Growth Fund                </t>
  </si>
  <si>
    <t xml:space="preserve">Eaton Vance Large-Cap Value I      </t>
  </si>
  <si>
    <t xml:space="preserve">Fidelity Adv Consumer Discre A     </t>
  </si>
  <si>
    <t xml:space="preserve">Invesco Mid Cap Core Equity B      </t>
  </si>
  <si>
    <t xml:space="preserve">Columbia Contrarian Core R5        </t>
  </si>
  <si>
    <t xml:space="preserve">Columbia Mid Cap Growth A          </t>
  </si>
  <si>
    <t xml:space="preserve">Columbia Contrarian Core Y         </t>
  </si>
  <si>
    <t xml:space="preserve">Columbia Diversified Equity Inc T  </t>
  </si>
  <si>
    <t xml:space="preserve">Franklin Mutual Shares Z           </t>
  </si>
  <si>
    <t xml:space="preserve">Franklin Small Cap Value A         </t>
  </si>
  <si>
    <t xml:space="preserve">Hartford Small Company A           </t>
  </si>
  <si>
    <t xml:space="preserve">Oppenheimer Equity Income C        </t>
  </si>
  <si>
    <t xml:space="preserve">Putnam Global Health Care Fund A   </t>
  </si>
  <si>
    <t xml:space="preserve">Saratoga Adv Tr Small Cap I        </t>
  </si>
  <si>
    <t xml:space="preserve">Sextant Growth Investor            </t>
  </si>
  <si>
    <t xml:space="preserve">Franklin Growth A                  </t>
  </si>
  <si>
    <t xml:space="preserve">Franklin Mutual Beacon A           </t>
  </si>
  <si>
    <t xml:space="preserve">Managers Funds LLC                      </t>
  </si>
  <si>
    <t xml:space="preserve">AMG GW&amp;K Small Cap Core N          </t>
  </si>
  <si>
    <t xml:space="preserve">Oak Ridge Sm Cap Growth K          </t>
  </si>
  <si>
    <t xml:space="preserve">Alger Growth and Income A          </t>
  </si>
  <si>
    <t>American Funds Amer Mutual Fd 529F1</t>
  </si>
  <si>
    <t xml:space="preserve">American Funds New Economy C       </t>
  </si>
  <si>
    <t xml:space="preserve">Calvert Equity Portfolio Y         </t>
  </si>
  <si>
    <t xml:space="preserve">Johnson Opportunity                </t>
  </si>
  <si>
    <t xml:space="preserve">MFS Technology A                   </t>
  </si>
  <si>
    <t xml:space="preserve">T Rowe Price Blue Chip Growth R    </t>
  </si>
  <si>
    <t xml:space="preserve">Voya Corp Leaders Trust            </t>
  </si>
  <si>
    <t xml:space="preserve">Columbia Diversified Equity Inc A  </t>
  </si>
  <si>
    <t xml:space="preserve">Columbia Mid Cap Growth T          </t>
  </si>
  <si>
    <t xml:space="preserve">Federated Clover Value Fund I      </t>
  </si>
  <si>
    <t xml:space="preserve">Franklin Mutual Shares R6          </t>
  </si>
  <si>
    <t xml:space="preserve">J Hancock Fundamental Lg Cp Cr R1  </t>
  </si>
  <si>
    <t xml:space="preserve">Oak Ridge Sm Cap Growth I          </t>
  </si>
  <si>
    <t xml:space="preserve">Timothy Plan                            </t>
  </si>
  <si>
    <t xml:space="preserve">Timothy Plan Small Cap Value A     </t>
  </si>
  <si>
    <t xml:space="preserve">Vanguard Dividend Growth Inv       </t>
  </si>
  <si>
    <t xml:space="preserve">American Century Heritage C        </t>
  </si>
  <si>
    <t xml:space="preserve">American Funds Inv Co of Amer 529A </t>
  </si>
  <si>
    <t xml:space="preserve">Washington Mutual Investors F2     </t>
  </si>
  <si>
    <t xml:space="preserve">First Inv Opportunity B            </t>
  </si>
  <si>
    <t xml:space="preserve">Delaware Select Growth R           </t>
  </si>
  <si>
    <t xml:space="preserve">T Rowe Price QM US Sm-Cap Gr Eq    </t>
  </si>
  <si>
    <t xml:space="preserve">American Funds Amer Mutual Fd A    </t>
  </si>
  <si>
    <t xml:space="preserve">American Funds New Economy R2      </t>
  </si>
  <si>
    <t xml:space="preserve">Columbia Diversified Equity Inc R4 </t>
  </si>
  <si>
    <t xml:space="preserve">T Rowe Price QM US Sm-Cap Gr Eq I  </t>
  </si>
  <si>
    <t xml:space="preserve">American Funds Amer Mutual Fd F3   </t>
  </si>
  <si>
    <t xml:space="preserve">American Funds Amer Mutual Fd R5E  </t>
  </si>
  <si>
    <t xml:space="preserve">American Funds New Economy R1      </t>
  </si>
  <si>
    <t xml:space="preserve">Franklin Balance Sheet Investmt R  </t>
  </si>
  <si>
    <t xml:space="preserve">J Hancock Fundamental Lg Cp Cr R3  </t>
  </si>
  <si>
    <t xml:space="preserve">Lazard US Sm-Mid Cap Eq Open       </t>
  </si>
  <si>
    <t xml:space="preserve">Pioneer Equity Income A            </t>
  </si>
  <si>
    <t xml:space="preserve">American Funds Inv Co of Amer F1   </t>
  </si>
  <si>
    <t xml:space="preserve">American Funds Inv Co of Amer R4   </t>
  </si>
  <si>
    <t xml:space="preserve">Washington Mutual Investors R6     </t>
  </si>
  <si>
    <t xml:space="preserve">Columbia Mid Cap Growth V          </t>
  </si>
  <si>
    <t xml:space="preserve">Hartford Dividend &amp; Growth R4      </t>
  </si>
  <si>
    <t xml:space="preserve">Berwyn Funds                            </t>
  </si>
  <si>
    <t xml:space="preserve">Berwyn Fund                        </t>
  </si>
  <si>
    <t xml:space="preserve">Columbia Select Large-Cap Value R5 </t>
  </si>
  <si>
    <t xml:space="preserve">ClearBridge Appreciation I         </t>
  </si>
  <si>
    <t xml:space="preserve">Acadian Emerging Markets Inv       </t>
  </si>
  <si>
    <t xml:space="preserve">BlackRock Mid Cap Growth Eq Inv B  </t>
  </si>
  <si>
    <t xml:space="preserve">Columbia Acorn International C     </t>
  </si>
  <si>
    <t xml:space="preserve">Hartford Dividend &amp; Growth I       </t>
  </si>
  <si>
    <t xml:space="preserve">J Hancock VIT Blue Chip Gr II      </t>
  </si>
  <si>
    <t xml:space="preserve">Sit Small Cap Growth Fund          </t>
  </si>
  <si>
    <t xml:space="preserve">TCW Funds                               </t>
  </si>
  <si>
    <t xml:space="preserve">TCW Select Equities I              </t>
  </si>
  <si>
    <t xml:space="preserve">SunAmerica VAL Co I Smcp Idx Fd    </t>
  </si>
  <si>
    <t xml:space="preserve">BlackRock Mid Cap Growth Eq Inv C  </t>
  </si>
  <si>
    <t xml:space="preserve">Fidelity Select Utilities          </t>
  </si>
  <si>
    <t xml:space="preserve">Templeton China World Adv          </t>
  </si>
  <si>
    <t xml:space="preserve">Lord Abbett Fundamental Equity B   </t>
  </si>
  <si>
    <t xml:space="preserve">Lord Abbett Fundamental Equity C   </t>
  </si>
  <si>
    <t xml:space="preserve">Manning &amp; Napier ProBlend Max Tm S </t>
  </si>
  <si>
    <t xml:space="preserve">RBC Funds                               </t>
  </si>
  <si>
    <t xml:space="preserve">RBC Enterprise A                   </t>
  </si>
  <si>
    <t xml:space="preserve">American Funds SMALLCAP World 529A </t>
  </si>
  <si>
    <t xml:space="preserve">Eaton Vance Small Cap C            </t>
  </si>
  <si>
    <t xml:space="preserve">Franklin Growth R6                 </t>
  </si>
  <si>
    <t xml:space="preserve">Franklin Rising Dividends A        </t>
  </si>
  <si>
    <t xml:space="preserve">J Hancock Disciplined Value I      </t>
  </si>
  <si>
    <t xml:space="preserve">SEI Inst Inv Small Cap A           </t>
  </si>
  <si>
    <t xml:space="preserve">American Funds Fundamntl Invs 529C </t>
  </si>
  <si>
    <t xml:space="preserve">Aquila Three Peaks Oppty Gro A     </t>
  </si>
  <si>
    <t xml:space="preserve">Columbia Diversified Equity Inc Z  </t>
  </si>
  <si>
    <t xml:space="preserve">Deutsche Global Small Cap A        </t>
  </si>
  <si>
    <t xml:space="preserve">Franklin DynaTech C                </t>
  </si>
  <si>
    <t xml:space="preserve">Franklin Small Cap Value R6        </t>
  </si>
  <si>
    <t xml:space="preserve">Delaware Smid Cap Growth C         </t>
  </si>
  <si>
    <t xml:space="preserve">Columbia Diversified Equity Inc Y  </t>
  </si>
  <si>
    <t xml:space="preserve">Washington Mutual Investors R5     </t>
  </si>
  <si>
    <t xml:space="preserve">J Hancock Disciplined Value R6     </t>
  </si>
  <si>
    <t xml:space="preserve">American Century New Opps Inv      </t>
  </si>
  <si>
    <t xml:space="preserve">American Funds Amer Mutual Fd F2   </t>
  </si>
  <si>
    <t xml:space="preserve">American Funds SMALLCAP World F1   </t>
  </si>
  <si>
    <t xml:space="preserve">American Funds SMALLCAP World R4   </t>
  </si>
  <si>
    <t xml:space="preserve">Templeton China World R6           </t>
  </si>
  <si>
    <t xml:space="preserve">Hartford Small Company I           </t>
  </si>
  <si>
    <t xml:space="preserve">Wells Fargo CB Lg Cp Vl A          </t>
  </si>
  <si>
    <t xml:space="preserve">Invesco Growth and Income B        </t>
  </si>
  <si>
    <t xml:space="preserve">J Hancock VIT Value I              </t>
  </si>
  <si>
    <t xml:space="preserve">Northern Income Equity             </t>
  </si>
  <si>
    <t xml:space="preserve">Oppenheimer Mid Cap Value R        </t>
  </si>
  <si>
    <t xml:space="preserve">Pioneer Equity Income K            </t>
  </si>
  <si>
    <t xml:space="preserve">AllianzGI Mid-Cap P                </t>
  </si>
  <si>
    <t xml:space="preserve">American Funds Fundamntl Invs C    </t>
  </si>
  <si>
    <t>American Funds Inv Co of Amer 529F1</t>
  </si>
  <si>
    <t xml:space="preserve">Artisan International Fund Inv     </t>
  </si>
  <si>
    <t xml:space="preserve">Hartford Small Company R4          </t>
  </si>
  <si>
    <t xml:space="preserve">MFS Global Equity Fund I           </t>
  </si>
  <si>
    <t xml:space="preserve">Pioneer Mid Cap Value A            </t>
  </si>
  <si>
    <t xml:space="preserve">Putnam International Capital Opp M </t>
  </si>
  <si>
    <t xml:space="preserve">Royce Funds                             </t>
  </si>
  <si>
    <t xml:space="preserve">Royce Micro-Cap Cons               </t>
  </si>
  <si>
    <t xml:space="preserve">American Funds Amer Mutual Fd R6   </t>
  </si>
  <si>
    <t xml:space="preserve">American Funds Fundamntl Invs R1   </t>
  </si>
  <si>
    <t xml:space="preserve">American Funds Ins Ser Gr &amp; Inc 4  </t>
  </si>
  <si>
    <t xml:space="preserve">Cohen &amp; Steers Funds                    </t>
  </si>
  <si>
    <t xml:space="preserve">Cohen and Steers Global Rlty Shs I </t>
  </si>
  <si>
    <t xml:space="preserve">Columbia Diversified Equity Inc K  </t>
  </si>
  <si>
    <t xml:space="preserve">Columbia Real Estate Equity C      </t>
  </si>
  <si>
    <t xml:space="preserve">American Funds Fundamntl Invs R2   </t>
  </si>
  <si>
    <t xml:space="preserve">American Funds Inv Co of Amer A    </t>
  </si>
  <si>
    <t xml:space="preserve">Columbia Acorn International B     </t>
  </si>
  <si>
    <t xml:space="preserve">Fidelity Adv Value Strategies C    </t>
  </si>
  <si>
    <t xml:space="preserve">J Hancock VIT Value NAV            </t>
  </si>
  <si>
    <t xml:space="preserve">Prudential Jennison Natural Res A  </t>
  </si>
  <si>
    <t xml:space="preserve">Russell Investments US Sm Cp Eq E  </t>
  </si>
  <si>
    <t xml:space="preserve">Thrivent Small Cap Stock A         </t>
  </si>
  <si>
    <t xml:space="preserve">AllianzGI Mid-Cap Institutional    </t>
  </si>
  <si>
    <t xml:space="preserve">American Funds Inv Co of Amer F3   </t>
  </si>
  <si>
    <t xml:space="preserve">American Funds Inv Co of Amer R5E  </t>
  </si>
  <si>
    <t xml:space="preserve">Artisan International Adv          </t>
  </si>
  <si>
    <t>BlackRock Value Opportunities Inv B</t>
  </si>
  <si>
    <t xml:space="preserve">Columbia Select Smaller-Cap Val R  </t>
  </si>
  <si>
    <t xml:space="preserve">Fidelity Japan Small Companies     </t>
  </si>
  <si>
    <t xml:space="preserve">Franklin Rising Dividends R6       </t>
  </si>
  <si>
    <t xml:space="preserve">GAMCO Global Growth AAA            </t>
  </si>
  <si>
    <t xml:space="preserve">Delaware Emerging Markets I        </t>
  </si>
  <si>
    <t xml:space="preserve">AMG GW&amp;K Small Cap Core I          </t>
  </si>
  <si>
    <t xml:space="preserve">American Funds SMALLCAP World A    </t>
  </si>
  <si>
    <t xml:space="preserve">GAMCO Global Growth A              </t>
  </si>
  <si>
    <t xml:space="preserve">Manning &amp; Napier ProBlend Max Tm I </t>
  </si>
  <si>
    <t>American Funds SMALLCAP World 529F1</t>
  </si>
  <si>
    <t xml:space="preserve">American Funds SMALLCAP World F3   </t>
  </si>
  <si>
    <t xml:space="preserve">American Funds SMALLCAP World R5E  </t>
  </si>
  <si>
    <t xml:space="preserve">Columbia Disciplined Small Core B  </t>
  </si>
  <si>
    <t xml:space="preserve">Oppenheimer Global B               </t>
  </si>
  <si>
    <t xml:space="preserve">Pioneer Mid Cap Value K            </t>
  </si>
  <si>
    <t xml:space="preserve">Pioneer Real Estate Shares C       </t>
  </si>
  <si>
    <t xml:space="preserve">Sterling Cap Stratton MC Val Inst  </t>
  </si>
  <si>
    <t xml:space="preserve">T Rowe Price New Asia              </t>
  </si>
  <si>
    <t xml:space="preserve">American Century New Opps I        </t>
  </si>
  <si>
    <t xml:space="preserve">American Century Value Inv         </t>
  </si>
  <si>
    <t xml:space="preserve">AMG Mgrs Special Equity N          </t>
  </si>
  <si>
    <t xml:space="preserve">Century Funds                           </t>
  </si>
  <si>
    <t xml:space="preserve">Century Shares Trust Inst          </t>
  </si>
  <si>
    <t xml:space="preserve">Columbia Real Estate Equity B      </t>
  </si>
  <si>
    <t xml:space="preserve">Invesco Mid Cap Growth C           </t>
  </si>
  <si>
    <t xml:space="preserve">Putnam Global Health Care Fund Y   </t>
  </si>
  <si>
    <t xml:space="preserve">Wells Fargo Growth C               </t>
  </si>
  <si>
    <t xml:space="preserve">AB Glbl Real Est Inv Adv           </t>
  </si>
  <si>
    <t xml:space="preserve">American Funds Amer Mutual Fd R5   </t>
  </si>
  <si>
    <t xml:space="preserve">Columbia Diversified Equity Inc R5 </t>
  </si>
  <si>
    <t>Prudential Jennison Small Company A</t>
  </si>
  <si>
    <t xml:space="preserve">Victory Munder Multi Cap A         </t>
  </si>
  <si>
    <t>BlackRock Value Opportunities Inv C</t>
  </si>
  <si>
    <t xml:space="preserve">Columbia Disciplined Small Core C  </t>
  </si>
  <si>
    <t xml:space="preserve">Permanent Portfolios Family of Fund     </t>
  </si>
  <si>
    <t xml:space="preserve">Permanent Portfolio Aggress Gr I   </t>
  </si>
  <si>
    <t xml:space="preserve">Victory RS Mid Cap Growth A        </t>
  </si>
  <si>
    <t xml:space="preserve">Putnam Equity Income A             </t>
  </si>
  <si>
    <t xml:space="preserve">American Century Intl Disc C       </t>
  </si>
  <si>
    <t xml:space="preserve">Columbia Mid Cap Growth K          </t>
  </si>
  <si>
    <t xml:space="preserve">Fidelity Select Consumer Discr     </t>
  </si>
  <si>
    <t xml:space="preserve">Franklin Growth Adv                </t>
  </si>
  <si>
    <t xml:space="preserve">Franklin Rising Dividends Adv      </t>
  </si>
  <si>
    <t xml:space="preserve">Hartford Growth Opportunities B    </t>
  </si>
  <si>
    <t xml:space="preserve">Invesco American Value A           </t>
  </si>
  <si>
    <t xml:space="preserve">Parnassus Investments                   </t>
  </si>
  <si>
    <t xml:space="preserve">Parnassus                          </t>
  </si>
  <si>
    <t xml:space="preserve">Rainier Small-Mid Cap Equity Orig  </t>
  </si>
  <si>
    <t xml:space="preserve">Wells Fargo Util and Tel C         </t>
  </si>
  <si>
    <t xml:space="preserve">Alger Mid Cap Growth Fund A        </t>
  </si>
  <si>
    <t xml:space="preserve">Alger Mid Cap Growth I2            </t>
  </si>
  <si>
    <t xml:space="preserve">Fidelity Adv Consumer Discre I     </t>
  </si>
  <si>
    <t xml:space="preserve">Oppenheimer Global C               </t>
  </si>
  <si>
    <t xml:space="preserve">Sequoia Funds                           </t>
  </si>
  <si>
    <t xml:space="preserve">Sequoia Fund                       </t>
  </si>
  <si>
    <t xml:space="preserve">Weitz Series                            </t>
  </si>
  <si>
    <t xml:space="preserve">Weitz Series-Hickory Fund          </t>
  </si>
  <si>
    <t xml:space="preserve">American Funds Inv Co of Amer F2   </t>
  </si>
  <si>
    <t xml:space="preserve">American Funds New Economy R2E     </t>
  </si>
  <si>
    <t xml:space="preserve">Wells Fargo C&amp;B Lg Cp Val Adm      </t>
  </si>
  <si>
    <t xml:space="preserve">American Century Value R6          </t>
  </si>
  <si>
    <t xml:space="preserve">Columbia Greater China A           </t>
  </si>
  <si>
    <t xml:space="preserve">Columbia Greater China T           </t>
  </si>
  <si>
    <t xml:space="preserve">Columbia Mid Cap Growth R4         </t>
  </si>
  <si>
    <t xml:space="preserve">Columbia Mid Cap Growth Z          </t>
  </si>
  <si>
    <t xml:space="preserve">JPMorgan Small Cap Growth C        </t>
  </si>
  <si>
    <t xml:space="preserve">DFA LWAS US High Bk to Mkt Port    </t>
  </si>
  <si>
    <t xml:space="preserve">Fidelity Adv Materials C           </t>
  </si>
  <si>
    <t xml:space="preserve">Franklin Balance Sheet Investmt A  </t>
  </si>
  <si>
    <t xml:space="preserve">J Hancock Small Company R1         </t>
  </si>
  <si>
    <t xml:space="preserve">Putnam International Capital Opp R </t>
  </si>
  <si>
    <t xml:space="preserve">Third Avenue Small-Cap Value Inv   </t>
  </si>
  <si>
    <t xml:space="preserve">American Funds Inv Co of Amer R6   </t>
  </si>
  <si>
    <t xml:space="preserve">Fidelity Adv Consumer Staples C    </t>
  </si>
  <si>
    <t xml:space="preserve">Invesco Comstock B                 </t>
  </si>
  <si>
    <t xml:space="preserve">J Hancock Fundamental Lg Cp Cr R2  </t>
  </si>
  <si>
    <t xml:space="preserve">MFS Technology I                   </t>
  </si>
  <si>
    <t xml:space="preserve">Waddell &amp; Reed Adv Vanguard Y      </t>
  </si>
  <si>
    <t xml:space="preserve">Hartford Growth Opportunities C    </t>
  </si>
  <si>
    <t xml:space="preserve">J Hancock VIT Blue Chip Gr I       </t>
  </si>
  <si>
    <t xml:space="preserve">MainStay MAP Equity B              </t>
  </si>
  <si>
    <t xml:space="preserve">MainStay MAP Equity C              </t>
  </si>
  <si>
    <t xml:space="preserve">Natixis US Equity Opportunties C   </t>
  </si>
  <si>
    <t xml:space="preserve">Fidelity Adv Utilities I           </t>
  </si>
  <si>
    <t xml:space="preserve">Fidelity Independence Fd           </t>
  </si>
  <si>
    <t xml:space="preserve">J Hancock Fundamental Lg Cp Cr A   </t>
  </si>
  <si>
    <t xml:space="preserve">T Rowe Price Blue Chip Growth Adv  </t>
  </si>
  <si>
    <t xml:space="preserve">American Century VP Value I        </t>
  </si>
  <si>
    <t xml:space="preserve">American Funds SMALLCAP World F2   </t>
  </si>
  <si>
    <t xml:space="preserve">Columbia Greater China R4          </t>
  </si>
  <si>
    <t xml:space="preserve">Columbia Mid Cap Growth R5         </t>
  </si>
  <si>
    <t xml:space="preserve">Franklin Mutual Beacon Z           </t>
  </si>
  <si>
    <t xml:space="preserve">Franklin Small Cap Value Adv       </t>
  </si>
  <si>
    <t xml:space="preserve">J Hancock Small Company R3         </t>
  </si>
  <si>
    <t xml:space="preserve">Lazard US Sm-Mid Cap Eq Inst       </t>
  </si>
  <si>
    <t>Lord Abbett Growth Opportunities R2</t>
  </si>
  <si>
    <t xml:space="preserve">Delaware Select Growth A           </t>
  </si>
  <si>
    <t xml:space="preserve">Principal Equity Inc Fd R1         </t>
  </si>
  <si>
    <t xml:space="preserve">William Blair Intl Grwth N         </t>
  </si>
  <si>
    <t xml:space="preserve">American Century Equity Income C   </t>
  </si>
  <si>
    <t xml:space="preserve">Columbia Mid Cap Growth Y          </t>
  </si>
  <si>
    <t xml:space="preserve">Invesco Equally-Weighted S&amp;P 500 C </t>
  </si>
  <si>
    <t xml:space="preserve">Tweedy Browne Global Value         </t>
  </si>
  <si>
    <t xml:space="preserve">BlackRock Mid Cap Div Inv C        </t>
  </si>
  <si>
    <t xml:space="preserve">Clipper Funds                           </t>
  </si>
  <si>
    <t xml:space="preserve">Clipper                            </t>
  </si>
  <si>
    <t xml:space="preserve">Fidelity Adv Canada I              </t>
  </si>
  <si>
    <t xml:space="preserve">Fidelity Adv Technology M          </t>
  </si>
  <si>
    <t xml:space="preserve">Fidelity Canada Fund               </t>
  </si>
  <si>
    <t xml:space="preserve">Franklin Mutual Beacon R6          </t>
  </si>
  <si>
    <t xml:space="preserve">Hartford Dividend &amp; Growth R5      </t>
  </si>
  <si>
    <t xml:space="preserve">Hennessy Cornerstone Growth Inv    </t>
  </si>
  <si>
    <t xml:space="preserve">Invesco Equally-Weighted S&amp;P 500 B </t>
  </si>
  <si>
    <t xml:space="preserve">J Hancock VIT Blue Chip Gr NAV     </t>
  </si>
  <si>
    <t xml:space="preserve">Oakmark Funds                           </t>
  </si>
  <si>
    <t xml:space="preserve">Oakmark Fund Investor              </t>
  </si>
  <si>
    <t xml:space="preserve">American Funds Inv Co of Amer R5   </t>
  </si>
  <si>
    <t xml:space="preserve">American Funds SMALLCAP World R6   </t>
  </si>
  <si>
    <t xml:space="preserve">AMG Mgrs Special Equity I          </t>
  </si>
  <si>
    <t xml:space="preserve">Aquila Three Peaks Oppty Gro Y     </t>
  </si>
  <si>
    <t xml:space="preserve">J Hancock Fundamental Lg Cp Cr R4  </t>
  </si>
  <si>
    <t xml:space="preserve">Turner Midcap Growth Retire        </t>
  </si>
  <si>
    <t xml:space="preserve">Wells Fargo Omega Growth A         </t>
  </si>
  <si>
    <t xml:space="preserve">American Funds New Perspectve 529C </t>
  </si>
  <si>
    <t xml:space="preserve">Columbia Greater China R5          </t>
  </si>
  <si>
    <t xml:space="preserve">Invesco American Value R6          </t>
  </si>
  <si>
    <t xml:space="preserve">American Century Real Estate C     </t>
  </si>
  <si>
    <t xml:space="preserve">Columbia Small Cap Index B         </t>
  </si>
  <si>
    <t xml:space="preserve">Columbia Small Cap Value I B       </t>
  </si>
  <si>
    <t xml:space="preserve">Eagle Small Cap Gr A               </t>
  </si>
  <si>
    <t xml:space="preserve">Fidelity Independence K            </t>
  </si>
  <si>
    <t xml:space="preserve">Franklin Balance Sheet Investmt R6 </t>
  </si>
  <si>
    <t xml:space="preserve">Janus Henderson Research R         </t>
  </si>
  <si>
    <t xml:space="preserve">Russell Investments US Sm Cp Eq S  </t>
  </si>
  <si>
    <t xml:space="preserve">T Rowe Price Financial Services    </t>
  </si>
  <si>
    <t xml:space="preserve">Value Line Income &amp; Growth Inv     </t>
  </si>
  <si>
    <t xml:space="preserve">Victory RS Mid Cap Growth Y        </t>
  </si>
  <si>
    <t xml:space="preserve">American Funds AMCAP 529C          </t>
  </si>
  <si>
    <t xml:space="preserve">Artisan International Fund Inst    </t>
  </si>
  <si>
    <t xml:space="preserve">Columbia Small Cap Value I C       </t>
  </si>
  <si>
    <t xml:space="preserve">Fidelity Capital Appreciation Fd   </t>
  </si>
  <si>
    <t xml:space="preserve">Gabelli Value 25 C                 </t>
  </si>
  <si>
    <t xml:space="preserve">American Funds Cap Wld Gr&amp;Inc 529C </t>
  </si>
  <si>
    <t xml:space="preserve">American Funds Fundamntl Invs R2E  </t>
  </si>
  <si>
    <t xml:space="preserve">BlackRock Eq Dividend R            </t>
  </si>
  <si>
    <t xml:space="preserve">Hartford Dividend &amp; Growth Y       </t>
  </si>
  <si>
    <t xml:space="preserve">Highland Premier Growth Equity A   </t>
  </si>
  <si>
    <t xml:space="preserve">Invesco American Value R5          </t>
  </si>
  <si>
    <t xml:space="preserve">Natixis Vaug Nel Sm Cp Val C       </t>
  </si>
  <si>
    <t xml:space="preserve">Oppenheimer Mid Cap Value A        </t>
  </si>
  <si>
    <t xml:space="preserve">Davis Real Estate A                </t>
  </si>
  <si>
    <t xml:space="preserve">Deutsche Global Small Cap S        </t>
  </si>
  <si>
    <t xml:space="preserve">American Century Utilities Inv     </t>
  </si>
  <si>
    <t xml:space="preserve">American Century Value I           </t>
  </si>
  <si>
    <t xml:space="preserve">American Funds New Perspectve C    </t>
  </si>
  <si>
    <t xml:space="preserve">Russell Investments US Sm Cp Eq I  </t>
  </si>
  <si>
    <t xml:space="preserve">Hartford Small Company HLS IB      </t>
  </si>
  <si>
    <t xml:space="preserve">RBC Enterprise I                   </t>
  </si>
  <si>
    <t xml:space="preserve">American Funds AMCAP C             </t>
  </si>
  <si>
    <t xml:space="preserve">American Funds New Perspectve R1   </t>
  </si>
  <si>
    <t xml:space="preserve">American Funds New Perspectve R2   </t>
  </si>
  <si>
    <t xml:space="preserve">Columbia Select Smaller-Cap Val A  </t>
  </si>
  <si>
    <t xml:space="preserve">Hartford Small Company R5          </t>
  </si>
  <si>
    <t xml:space="preserve">J Hancock Fundamental Lg Cp Cr R6  </t>
  </si>
  <si>
    <t>Morgan Stanley Multi Cap Gr Trust B</t>
  </si>
  <si>
    <t xml:space="preserve">Pioneer Equity Income Y            </t>
  </si>
  <si>
    <t xml:space="preserve">American Funds Cap Wld Gr&amp;Inc C    </t>
  </si>
  <si>
    <t xml:space="preserve">Deutsche Global Small Cap Inst     </t>
  </si>
  <si>
    <t xml:space="preserve">JPMorgan Intrepid Euro A           </t>
  </si>
  <si>
    <t>Lord Abbett Growth Opportunities R3</t>
  </si>
  <si>
    <t xml:space="preserve">Principal Equity Inc Fd R2         </t>
  </si>
  <si>
    <t xml:space="preserve">Elfun Trusts                       </t>
  </si>
  <si>
    <t xml:space="preserve">Wells Fargo C&amp;B Lg Cp Val l        </t>
  </si>
  <si>
    <t xml:space="preserve">American Funds New Economy 529E    </t>
  </si>
  <si>
    <t xml:space="preserve">American Funds New Economy R3      </t>
  </si>
  <si>
    <t xml:space="preserve">American Funds SMALLCAP World R5   </t>
  </si>
  <si>
    <t xml:space="preserve">Baron Funds                             </t>
  </si>
  <si>
    <t xml:space="preserve">Baron Asset Fd Retail              </t>
  </si>
  <si>
    <t xml:space="preserve">Federated International Sm-Mid A   </t>
  </si>
  <si>
    <t xml:space="preserve">J Hancock Fundamental Lg Cp Cr R5  </t>
  </si>
  <si>
    <t xml:space="preserve">Oppenheimer Mid Cap Value I        </t>
  </si>
  <si>
    <t xml:space="preserve">PNC Multi-Factor Small Cap Value A </t>
  </si>
  <si>
    <t xml:space="preserve">American Funds AMCAP R1            </t>
  </si>
  <si>
    <t xml:space="preserve">American Funds AMCAP R2            </t>
  </si>
  <si>
    <t xml:space="preserve">Fidelity Capital Appreciation K    </t>
  </si>
  <si>
    <t xml:space="preserve">Hartford Div &amp; Growth HLS IA       </t>
  </si>
  <si>
    <t xml:space="preserve">Hartford Dividend &amp; Gr HLS Fd IA   </t>
  </si>
  <si>
    <t xml:space="preserve">JPMorgan Dynamic Small Cap Gr A    </t>
  </si>
  <si>
    <t xml:space="preserve">Prudential Jennison Natural Res Z  </t>
  </si>
  <si>
    <t xml:space="preserve">Waddell &amp; Reed Adv New Concepts B  </t>
  </si>
  <si>
    <t xml:space="preserve">American Funds Cap Wld Gr&amp;Inc R1   </t>
  </si>
  <si>
    <t xml:space="preserve">American Funds Cap Wld Gr&amp;Inc R2   </t>
  </si>
  <si>
    <t xml:space="preserve">Eagle Capital Appreciation C       </t>
  </si>
  <si>
    <t xml:space="preserve">Janus Henderson Enterprise C       </t>
  </si>
  <si>
    <t xml:space="preserve">JPMorgan Small Cap Value C         </t>
  </si>
  <si>
    <t>Morgan Stanley Multi Cap Gr Trust L</t>
  </si>
  <si>
    <t>Prudential Jennison Small Company Z</t>
  </si>
  <si>
    <t xml:space="preserve">Dreyfus/Boston Co Sm/Mid Cap Gro C </t>
  </si>
  <si>
    <t xml:space="preserve">Oppenheimer Equity Income R        </t>
  </si>
  <si>
    <t xml:space="preserve">Putnam Equity Income Y             </t>
  </si>
  <si>
    <t xml:space="preserve">T Rowe Price Value Adv             </t>
  </si>
  <si>
    <t xml:space="preserve">Wilshire Small Co Val Inv          </t>
  </si>
  <si>
    <t xml:space="preserve">Columbia Select Smaller-Cap Val Y  </t>
  </si>
  <si>
    <t xml:space="preserve">Hartford Small Company Y           </t>
  </si>
  <si>
    <t xml:space="preserve">Invesco Growth and Income A        </t>
  </si>
  <si>
    <t xml:space="preserve">Lord Abbett Fundamental Equity R2  </t>
  </si>
  <si>
    <t xml:space="preserve">LKCM Small Cap Equity Inst         </t>
  </si>
  <si>
    <t xml:space="preserve">T Rowe Price Blue Chip Growth      </t>
  </si>
  <si>
    <t xml:space="preserve">Vanguard Global Equity Inv         </t>
  </si>
  <si>
    <t xml:space="preserve">Columbia Select Smaller-Cap Val K  </t>
  </si>
  <si>
    <t xml:space="preserve">Columbia Select Smaller-Cap Val R4 </t>
  </si>
  <si>
    <t xml:space="preserve">Columbia Seligman Global Tech B    </t>
  </si>
  <si>
    <t xml:space="preserve">Davis Opportunity A                </t>
  </si>
  <si>
    <t xml:space="preserve">Invesco Mid Cap Core Equity R      </t>
  </si>
  <si>
    <t xml:space="preserve">Russell Investments US Sm Cp Eq Y  </t>
  </si>
  <si>
    <t xml:space="preserve">SEI Instl Managed Tr-Sm Cap Val F  </t>
  </si>
  <si>
    <t xml:space="preserve">Amana Funds                             </t>
  </si>
  <si>
    <t xml:space="preserve">Amana Income Investor              </t>
  </si>
  <si>
    <t xml:space="preserve">Russell Investments Glbl RE Sec E  </t>
  </si>
  <si>
    <t xml:space="preserve">Laudus Internatl MarketMasters Inv </t>
  </si>
  <si>
    <t xml:space="preserve">Columbia Seligman Global Tech C    </t>
  </si>
  <si>
    <t xml:space="preserve">DFA International Small Co Inst    </t>
  </si>
  <si>
    <t xml:space="preserve">Franklin Mutual Global Discovery C </t>
  </si>
  <si>
    <t xml:space="preserve">Sterling Capital Mid Value C       </t>
  </si>
  <si>
    <t xml:space="preserve">Vanguard Equity Income Inv         </t>
  </si>
  <si>
    <t xml:space="preserve">Columbia Select Smaller-Cap Val Z  </t>
  </si>
  <si>
    <t xml:space="preserve">Eaton Vance Small Cap R            </t>
  </si>
  <si>
    <t xml:space="preserve">Invesco Mid Cap Growth B           </t>
  </si>
  <si>
    <t xml:space="preserve">Principal Equity Inc Fd R3         </t>
  </si>
  <si>
    <t xml:space="preserve">Russell Investments Glbl RE Sec A  </t>
  </si>
  <si>
    <t xml:space="preserve">Third Avenue Small-Cap Value Inst  </t>
  </si>
  <si>
    <t xml:space="preserve">Wells Fargo Oppty Adv              </t>
  </si>
  <si>
    <t xml:space="preserve">American Century Heritage R        </t>
  </si>
  <si>
    <t xml:space="preserve">American Funds Ins Ser Gr &amp; Inc 1A </t>
  </si>
  <si>
    <t xml:space="preserve">Rydex NASDAQ 100 Investor          </t>
  </si>
  <si>
    <t xml:space="preserve">MSIF Growth A                      </t>
  </si>
  <si>
    <t>Federated International Sm-Mid Inst</t>
  </si>
  <si>
    <t xml:space="preserve">JPMorgan Intrepid Mid Cap A        </t>
  </si>
  <si>
    <t xml:space="preserve">Voya Small Company C               </t>
  </si>
  <si>
    <t xml:space="preserve">Amana Income Institutional         </t>
  </si>
  <si>
    <t xml:space="preserve">Baron Asset Inst                   </t>
  </si>
  <si>
    <t xml:space="preserve">Columbia Acorn USA C               </t>
  </si>
  <si>
    <t>Franklin Balance Sheet Investmt Adv</t>
  </si>
  <si>
    <t xml:space="preserve">J Hancock Small Company R2         </t>
  </si>
  <si>
    <t xml:space="preserve">Pioneer Mid Cap Value Y            </t>
  </si>
  <si>
    <t xml:space="preserve">T Rowe Price Growth Stock R        </t>
  </si>
  <si>
    <t xml:space="preserve">FAM Funds                               </t>
  </si>
  <si>
    <t xml:space="preserve">FAM Equity-Income Inv              </t>
  </si>
  <si>
    <t xml:space="preserve">MFS Intl Value Fund A              </t>
  </si>
  <si>
    <t xml:space="preserve">TCW Relative Value Dividend App N  </t>
  </si>
  <si>
    <t xml:space="preserve">American Funds Fundamntl Invs 529E </t>
  </si>
  <si>
    <t xml:space="preserve">American Funds Fundamntl Invs R3   </t>
  </si>
  <si>
    <t xml:space="preserve">Oppenheimer Mid Cap Value Y        </t>
  </si>
  <si>
    <t xml:space="preserve">RBC SMID Cap Growth A              </t>
  </si>
  <si>
    <t xml:space="preserve">William Blair Intl Grwth I         </t>
  </si>
  <si>
    <t xml:space="preserve">BlackRock Adv Lg Cap Gr Inv A      </t>
  </si>
  <si>
    <t xml:space="preserve">Columbia Real Estate Equity R      </t>
  </si>
  <si>
    <t xml:space="preserve">Invesco Growth and Income R6       </t>
  </si>
  <si>
    <t xml:space="preserve">Lord Abbett Fundamental Equity R3  </t>
  </si>
  <si>
    <t xml:space="preserve">Lord Abbett Growth Opportunities A </t>
  </si>
  <si>
    <t xml:space="preserve">Delaware Select Growth I           </t>
  </si>
  <si>
    <t xml:space="preserve">Delaware Smid Cap Growth R         </t>
  </si>
  <si>
    <t xml:space="preserve">Principal Equity Inc Fd A          </t>
  </si>
  <si>
    <t xml:space="preserve">Waddell &amp; Reed Adv New Concepts C  </t>
  </si>
  <si>
    <t xml:space="preserve">BMO Small-Cap Growth I             </t>
  </si>
  <si>
    <t xml:space="preserve">Fidelity Adv Technology A          </t>
  </si>
  <si>
    <t xml:space="preserve">Thornburg Value A                  </t>
  </si>
  <si>
    <t xml:space="preserve">Gabelli Equity Income A            </t>
  </si>
  <si>
    <t xml:space="preserve">Gabelli Equity Income AAA          </t>
  </si>
  <si>
    <t xml:space="preserve">Invesco Growth and Income R5       </t>
  </si>
  <si>
    <t xml:space="preserve">Principal Equity Inc Fd R4         </t>
  </si>
  <si>
    <t xml:space="preserve">Wells Fargo Comm Stk C             </t>
  </si>
  <si>
    <t xml:space="preserve">Wells Fargo Omega Growth Admin     </t>
  </si>
  <si>
    <t xml:space="preserve">Janus Henderson Research S         </t>
  </si>
  <si>
    <t xml:space="preserve">Schwab Small-Cap Index             </t>
  </si>
  <si>
    <t xml:space="preserve">Columbia Acorn International R     </t>
  </si>
  <si>
    <t xml:space="preserve">Franklin DynaTech R                </t>
  </si>
  <si>
    <t xml:space="preserve">J Hancock Small Company R4         </t>
  </si>
  <si>
    <t xml:space="preserve">Principal Equity Inc Fd R5         </t>
  </si>
  <si>
    <t xml:space="preserve">Wells Fargo Intr World Eq A        </t>
  </si>
  <si>
    <t xml:space="preserve">BlackRock Eq Dividend Svc          </t>
  </si>
  <si>
    <t xml:space="preserve">Emerald Mutual Funds                    </t>
  </si>
  <si>
    <t xml:space="preserve">Emerald Banking and Finance Inv    </t>
  </si>
  <si>
    <t>Victory RS Science and Technology C</t>
  </si>
  <si>
    <t xml:space="preserve">1st Source Monogram Funds               </t>
  </si>
  <si>
    <t xml:space="preserve">Wasatch Large Cap Value Investor   </t>
  </si>
  <si>
    <t xml:space="preserve">BlackRock Eq Dividend Inv A        </t>
  </si>
  <si>
    <t xml:space="preserve">Hartford Small Company HLS IA      </t>
  </si>
  <si>
    <t xml:space="preserve">Highland Premier Growth Equity Y   </t>
  </si>
  <si>
    <t xml:space="preserve">Hodges Funds                            </t>
  </si>
  <si>
    <t xml:space="preserve">Hodges Retail                      </t>
  </si>
  <si>
    <t xml:space="preserve">Invesco Growth and Income Y        </t>
  </si>
  <si>
    <t xml:space="preserve">American Funds New Perspectve R2E  </t>
  </si>
  <si>
    <t xml:space="preserve">JPMorgan Intrepid Euro I           </t>
  </si>
  <si>
    <t xml:space="preserve">Delaware Small Cap Value C         </t>
  </si>
  <si>
    <t xml:space="preserve">Nuveen Mid Cap Growth Opps A       </t>
  </si>
  <si>
    <t xml:space="preserve">T Rowe Price Value                 </t>
  </si>
  <si>
    <t xml:space="preserve">Weitz Series-Value Investor        </t>
  </si>
  <si>
    <t xml:space="preserve">American Funds AMCAP R2E           </t>
  </si>
  <si>
    <t xml:space="preserve">Columbia Greater China Z           </t>
  </si>
  <si>
    <t xml:space="preserve">Fidelity Adv Materials M           </t>
  </si>
  <si>
    <t xml:space="preserve">Gabelli Asset C                    </t>
  </si>
  <si>
    <t xml:space="preserve">Putnam International Capital Opp A </t>
  </si>
  <si>
    <t xml:space="preserve">American Funds Cap Wld Gr&amp;Inc R2E  </t>
  </si>
  <si>
    <t xml:space="preserve">Fidelity Adv Consumer Staples M    </t>
  </si>
  <si>
    <t xml:space="preserve">ClearBridge Small Cap C            </t>
  </si>
  <si>
    <t xml:space="preserve">Turner Midcap Growth Inv           </t>
  </si>
  <si>
    <t xml:space="preserve">Janus Henderson Research A         </t>
  </si>
  <si>
    <t xml:space="preserve">Victory RS Small Cap Growth C      </t>
  </si>
  <si>
    <t xml:space="preserve">Rice Hall James Small Cap Port     </t>
  </si>
  <si>
    <t xml:space="preserve">Invesco Comstock A                 </t>
  </si>
  <si>
    <t xml:space="preserve">Vanguard Extended Market Index Inv </t>
  </si>
  <si>
    <t xml:space="preserve">Invesco Mid Cap Core Equity A      </t>
  </si>
  <si>
    <t xml:space="preserve">Oppenheimer Global R               </t>
  </si>
  <si>
    <t xml:space="preserve">MFS International Value R6         </t>
  </si>
  <si>
    <t xml:space="preserve">Nuveen Small Cap Select R3         </t>
  </si>
  <si>
    <t xml:space="preserve">Davis Real Estate Y                </t>
  </si>
  <si>
    <t xml:space="preserve">Federated Kaufmann B               </t>
  </si>
  <si>
    <t xml:space="preserve">Federated Kaufmann C               </t>
  </si>
  <si>
    <t xml:space="preserve">Fidelity Adv Value Strategies M    </t>
  </si>
  <si>
    <t xml:space="preserve">PNC Multi-Factor Small Cap Value I </t>
  </si>
  <si>
    <t xml:space="preserve">Wells Fargo Global Opps C          </t>
  </si>
  <si>
    <t xml:space="preserve">American Funds New Economy 529A    </t>
  </si>
  <si>
    <t xml:space="preserve">BlackRock Mid Cap Growth Eq R      </t>
  </si>
  <si>
    <t xml:space="preserve">Gabelli Equity Income I            </t>
  </si>
  <si>
    <t xml:space="preserve">J Hancock Small Company A          </t>
  </si>
  <si>
    <t xml:space="preserve">Royce Total Return Cons            </t>
  </si>
  <si>
    <t xml:space="preserve">Alger Capital Appreciation A       </t>
  </si>
  <si>
    <t xml:space="preserve">American Century Intl Disc R       </t>
  </si>
  <si>
    <t xml:space="preserve">American Funds New Economy F1      </t>
  </si>
  <si>
    <t xml:space="preserve">CornerCap Funds                         </t>
  </si>
  <si>
    <t xml:space="preserve">CornerCap Sm Cap Value Inv         </t>
  </si>
  <si>
    <t xml:space="preserve">First Inv Opportunity A            </t>
  </si>
  <si>
    <t xml:space="preserve">Heartland Group                         </t>
  </si>
  <si>
    <t xml:space="preserve">Heartland Value Inv                </t>
  </si>
  <si>
    <t xml:space="preserve">Heartland Value Plus Inv           </t>
  </si>
  <si>
    <t xml:space="preserve">Jensen Funds                            </t>
  </si>
  <si>
    <t xml:space="preserve">Jensen Quality Growth J            </t>
  </si>
  <si>
    <t xml:space="preserve">Lord Abbett Fundamental Equity A   </t>
  </si>
  <si>
    <t xml:space="preserve">MainStay Epoch US Small Cap A      </t>
  </si>
  <si>
    <t xml:space="preserve">Royce Low Priced Stock R           </t>
  </si>
  <si>
    <t xml:space="preserve">American Funds New Economy R4      </t>
  </si>
  <si>
    <t xml:space="preserve">TCW Relative Value Dividend App I  </t>
  </si>
  <si>
    <t xml:space="preserve">Vanguard Selected Value Inv        </t>
  </si>
  <si>
    <t xml:space="preserve">Wells Fargo Oppty Adm              </t>
  </si>
  <si>
    <t xml:space="preserve">Wilshire Small Co Val Inst         </t>
  </si>
  <si>
    <t xml:space="preserve">DFA US Large Cap Value I Inst      </t>
  </si>
  <si>
    <t xml:space="preserve">Oppenheimer Equity Income A        </t>
  </si>
  <si>
    <t xml:space="preserve">Vanguard Energy Inv                </t>
  </si>
  <si>
    <t xml:space="preserve">Glenmede Small Cap Equity Adv      </t>
  </si>
  <si>
    <t xml:space="preserve">JPMorgan Dynamic Small Cap Gr I    </t>
  </si>
  <si>
    <t xml:space="preserve">Russell Investments Glbl RE Sec S  </t>
  </si>
  <si>
    <t xml:space="preserve">American Century Heritage A        </t>
  </si>
  <si>
    <t xml:space="preserve">MSIF Growth I                      </t>
  </si>
  <si>
    <t xml:space="preserve">BlackRock Value Opportunities R    </t>
  </si>
  <si>
    <t xml:space="preserve">JPMorgan Intrepid Mid Cap I        </t>
  </si>
  <si>
    <t xml:space="preserve">Invesco Comstock R6                </t>
  </si>
  <si>
    <t xml:space="preserve">JPMorgan Mid Cap Gr C              </t>
  </si>
  <si>
    <t xml:space="preserve">American Century Equity Income R   </t>
  </si>
  <si>
    <t xml:space="preserve">Invesco Mid Cap Core Equity R6     </t>
  </si>
  <si>
    <t xml:space="preserve">Invesco Mid Cap Core Equity Y      </t>
  </si>
  <si>
    <t xml:space="preserve">Oakmark International Investor     </t>
  </si>
  <si>
    <t xml:space="preserve">Prudential Jennison Equity Oppty B </t>
  </si>
  <si>
    <t xml:space="preserve">Prudential Jennison Equity Oppty C </t>
  </si>
  <si>
    <t xml:space="preserve">American Funds New Economy 529F1   </t>
  </si>
  <si>
    <t xml:space="preserve">American Funds New Economy A       </t>
  </si>
  <si>
    <t xml:space="preserve">American Funds New Perspectve 529E </t>
  </si>
  <si>
    <t xml:space="preserve">Columbia Acorn International A     </t>
  </si>
  <si>
    <t xml:space="preserve">Columbia Select Smaller-Cap Val R5 </t>
  </si>
  <si>
    <t xml:space="preserve">Fidelity Adv Consumer Staples A    </t>
  </si>
  <si>
    <t xml:space="preserve">Fidelity Adv Materials A           </t>
  </si>
  <si>
    <t xml:space="preserve">Hartford Growth Opportunities R3   </t>
  </si>
  <si>
    <t xml:space="preserve">Invesco Comstock R5                </t>
  </si>
  <si>
    <t xml:space="preserve">T Rowe Price Growth Stock Adv      </t>
  </si>
  <si>
    <t xml:space="preserve">American Funds New Economy F3      </t>
  </si>
  <si>
    <t xml:space="preserve">American Funds New Perspectve R3   </t>
  </si>
  <si>
    <t xml:space="preserve">BlackRock Mid Cap Growth Eq Inv A  </t>
  </si>
  <si>
    <t xml:space="preserve">Columbia Real Estate Equity T      </t>
  </si>
  <si>
    <t xml:space="preserve">DFA US Large Cap Value II Inst     </t>
  </si>
  <si>
    <t xml:space="preserve">Eaton Vance Greater India B        </t>
  </si>
  <si>
    <t xml:space="preserve">Eaton Vance Greater India C        </t>
  </si>
  <si>
    <t xml:space="preserve">Fidelity Value K                   </t>
  </si>
  <si>
    <t xml:space="preserve">RBC SMID Cap Growth I              </t>
  </si>
  <si>
    <t xml:space="preserve">American Funds AMCAP 529E          </t>
  </si>
  <si>
    <t xml:space="preserve">American Funds New Economy R5E     </t>
  </si>
  <si>
    <t xml:space="preserve">Emerald Banking and Finance A      </t>
  </si>
  <si>
    <t>Fidelity Adv Stk Selector Mid Cap C</t>
  </si>
  <si>
    <t xml:space="preserve">Heartland Value Inst               </t>
  </si>
  <si>
    <t xml:space="preserve">Delaware Smid Cap Growth A         </t>
  </si>
  <si>
    <t xml:space="preserve">American Funds AMCAP R3            </t>
  </si>
  <si>
    <t xml:space="preserve">American Funds Cap Wld Gr&amp;Inc 529E </t>
  </si>
  <si>
    <t xml:space="preserve">American Funds Fundamntl Invs 529A </t>
  </si>
  <si>
    <t xml:space="preserve">Fidelity Value Fd                  </t>
  </si>
  <si>
    <t xml:space="preserve">ICON Consumer Staples S            </t>
  </si>
  <si>
    <t xml:space="preserve">Invesco Comstock Y                 </t>
  </si>
  <si>
    <t xml:space="preserve">J Hancock Small Company R5         </t>
  </si>
  <si>
    <t xml:space="preserve">JPMorgan Intrepid Euro L           </t>
  </si>
  <si>
    <t xml:space="preserve">Oppenheimer Equity Income Y        </t>
  </si>
  <si>
    <t>Vanguard Extended Market Index Inst</t>
  </si>
  <si>
    <t xml:space="preserve">American Century Real Estate R     </t>
  </si>
  <si>
    <t xml:space="preserve">American Funds Cap Wld Gr&amp;Inc R3   </t>
  </si>
  <si>
    <t xml:space="preserve">Hartford Capital Apprec B          </t>
  </si>
  <si>
    <t xml:space="preserve">J Hancock Small Company R6         </t>
  </si>
  <si>
    <t xml:space="preserve">MainStay MAP Equity R3             </t>
  </si>
  <si>
    <t xml:space="preserve">Nuveen Small Cap Select A          </t>
  </si>
  <si>
    <t xml:space="preserve">Russell Investments Glbl RE Sec Y  </t>
  </si>
  <si>
    <t xml:space="preserve">American Funds Fundamntl Invs R4   </t>
  </si>
  <si>
    <t xml:space="preserve">Franklin DynaTech A                </t>
  </si>
  <si>
    <t xml:space="preserve">Franklin Mutual European C         </t>
  </si>
  <si>
    <t xml:space="preserve">Heartland Value Plus Inst          </t>
  </si>
  <si>
    <t xml:space="preserve">Invesco Global Health Care B       </t>
  </si>
  <si>
    <t xml:space="preserve">Janus Henderson Research T         </t>
  </si>
  <si>
    <t xml:space="preserve">ClearBridge Small Cap R            </t>
  </si>
  <si>
    <t xml:space="preserve">BlackRock Adv Lg Cap Gr Inst       </t>
  </si>
  <si>
    <t xml:space="preserve">MFS New Discovery A                </t>
  </si>
  <si>
    <t xml:space="preserve">Nuveen Small Cap Value A           </t>
  </si>
  <si>
    <t xml:space="preserve">Putnam International Capital Opp Y </t>
  </si>
  <si>
    <t xml:space="preserve">American Funds Fundamntl Invs F1   </t>
  </si>
  <si>
    <t xml:space="preserve">Columbia Disciplined Small Core V  </t>
  </si>
  <si>
    <t xml:space="preserve">Columbia Small Cap Value I R       </t>
  </si>
  <si>
    <t xml:space="preserve">Prudential Jennison Mid-Cap Gro B  </t>
  </si>
  <si>
    <t xml:space="preserve">BlackRock Eq Dividend Inst         </t>
  </si>
  <si>
    <t xml:space="preserve">Columbia Small Cap Growth I B      </t>
  </si>
  <si>
    <t xml:space="preserve">Columbia Small Cap Growth I C      </t>
  </si>
  <si>
    <t xml:space="preserve">DFA US Large Cap Value III Inst    </t>
  </si>
  <si>
    <t xml:space="preserve">Eaton Vance Small Cap A            </t>
  </si>
  <si>
    <t xml:space="preserve">Fidelity Adv Value Strategies A    </t>
  </si>
  <si>
    <t xml:space="preserve">Hartford SmallCap Growth C         </t>
  </si>
  <si>
    <t xml:space="preserve">Nuveen Mid Cap Growth Opps I       </t>
  </si>
  <si>
    <t xml:space="preserve">Prudential Jennison Mid-Cap Gro C  </t>
  </si>
  <si>
    <t xml:space="preserve">ICON Information Technology S      </t>
  </si>
  <si>
    <t xml:space="preserve">Janus Henderson Research D         </t>
  </si>
  <si>
    <t xml:space="preserve">JPMorgan Small Cap Growth A        </t>
  </si>
  <si>
    <t xml:space="preserve">FAM Value Inv                      </t>
  </si>
  <si>
    <t xml:space="preserve">Hartford SmallCap Growth B         </t>
  </si>
  <si>
    <t xml:space="preserve">Jensen Quality Growth I            </t>
  </si>
  <si>
    <t xml:space="preserve">J Hancock VIT Real Est Sec II      </t>
  </si>
  <si>
    <t xml:space="preserve">MFS Intl Value Fund I              </t>
  </si>
  <si>
    <t xml:space="preserve">Thrivent Mid Cap Stock A           </t>
  </si>
  <si>
    <t xml:space="preserve">AB Equity Income B                 </t>
  </si>
  <si>
    <t xml:space="preserve">BlackRock Mid Cap Growth Eq Svc    </t>
  </si>
  <si>
    <t xml:space="preserve">Fidelity Adv Technology I          </t>
  </si>
  <si>
    <t xml:space="preserve">Janus Henderson Enterprise R       </t>
  </si>
  <si>
    <t xml:space="preserve">BlackRock Mid Cap Div R            </t>
  </si>
  <si>
    <t xml:space="preserve">Columbia Real Estate Equity A      </t>
  </si>
  <si>
    <t xml:space="preserve">Janus Henderson Research I         </t>
  </si>
  <si>
    <t xml:space="preserve">Janus Henderson Research N         </t>
  </si>
  <si>
    <t xml:space="preserve">Wells Fargo Growth Adv             </t>
  </si>
  <si>
    <t xml:space="preserve">AB Equity Income C                 </t>
  </si>
  <si>
    <t xml:space="preserve">American Funds New Economy F2      </t>
  </si>
  <si>
    <t xml:space="preserve">Hartford Capital Apprec C          </t>
  </si>
  <si>
    <t xml:space="preserve">Invesco VI American Value I        </t>
  </si>
  <si>
    <t xml:space="preserve">Lord Abbett Mid Cap Stock B        </t>
  </si>
  <si>
    <t xml:space="preserve">Lord Abbett Mid Cap Stock C        </t>
  </si>
  <si>
    <t>American Funds Fundamntl Invs 529F1</t>
  </si>
  <si>
    <t xml:space="preserve">American Funds Fundamntl Invs A    </t>
  </si>
  <si>
    <t xml:space="preserve">Columbia Disciplined Small Core A  </t>
  </si>
  <si>
    <t xml:space="preserve">Franklin DynaTech R6               </t>
  </si>
  <si>
    <t xml:space="preserve">Invesco Mid Cap Growth A           </t>
  </si>
  <si>
    <t xml:space="preserve">Thornburg Value Inst               </t>
  </si>
  <si>
    <t xml:space="preserve">Vanguard Small-Cap Index Inv       </t>
  </si>
  <si>
    <t>Victory RS Science and Technology R</t>
  </si>
  <si>
    <t xml:space="preserve">American Funds Fundamntl Invs F3   </t>
  </si>
  <si>
    <t xml:space="preserve">American Funds Fundamntl Invs R5E  </t>
  </si>
  <si>
    <t xml:space="preserve">American Funds New Economy R6      </t>
  </si>
  <si>
    <t xml:space="preserve">Columbia Disciplined Small Core T  </t>
  </si>
  <si>
    <t xml:space="preserve">Franklin DynaTech Adv              </t>
  </si>
  <si>
    <t>SEI Instl Managed Tr-MidCap Portf F</t>
  </si>
  <si>
    <t xml:space="preserve">Wells Fargo Util and Tel A         </t>
  </si>
  <si>
    <t xml:space="preserve">American Century Intl Disc A       </t>
  </si>
  <si>
    <t xml:space="preserve">Columbia Seligman Global Tech R    </t>
  </si>
  <si>
    <t xml:space="preserve">Hartford Growth Opportunities A    </t>
  </si>
  <si>
    <t xml:space="preserve">Invesco Real Estate C              </t>
  </si>
  <si>
    <t xml:space="preserve">ClearBridge Small Cap A            </t>
  </si>
  <si>
    <t xml:space="preserve">Victory RS Select Growth C         </t>
  </si>
  <si>
    <t xml:space="preserve">Franklin Mutual Global Discovery R </t>
  </si>
  <si>
    <t xml:space="preserve">Glenmede Small Cap Equity Inst     </t>
  </si>
  <si>
    <t xml:space="preserve">Franklin Utilities C               </t>
  </si>
  <si>
    <t xml:space="preserve">Oppenheimer Global A               </t>
  </si>
  <si>
    <t xml:space="preserve">Pioneer Real Estate Shares A       </t>
  </si>
  <si>
    <t xml:space="preserve">Prudential Jennison Utility C      </t>
  </si>
  <si>
    <t xml:space="preserve">Fidelity Select Semiconductor Port </t>
  </si>
  <si>
    <t xml:space="preserve">Prudential Jennison Utility B      </t>
  </si>
  <si>
    <t xml:space="preserve">Voya Multi Manager Internatl SC C  </t>
  </si>
  <si>
    <t xml:space="preserve">American Century Heritage Inv      </t>
  </si>
  <si>
    <t xml:space="preserve">Fidelity Adv Industrials C         </t>
  </si>
  <si>
    <t xml:space="preserve">Quaker Funds Inc                        </t>
  </si>
  <si>
    <t xml:space="preserve">Quaker Small-Cap Value A           </t>
  </si>
  <si>
    <t xml:space="preserve">Fidelity Export and Multination    </t>
  </si>
  <si>
    <t xml:space="preserve">Matthews Asian Funds                    </t>
  </si>
  <si>
    <t xml:space="preserve">Matthews Pacific Tiger Fund Inv    </t>
  </si>
  <si>
    <t xml:space="preserve">Royce Total Return R               </t>
  </si>
  <si>
    <t xml:space="preserve">T Rowe Price Growth Stock          </t>
  </si>
  <si>
    <t xml:space="preserve">American Funds New Economy R5      </t>
  </si>
  <si>
    <t xml:space="preserve">Columbia Real Estate Equity K      </t>
  </si>
  <si>
    <t xml:space="preserve">ICON Utilities S                   </t>
  </si>
  <si>
    <t xml:space="preserve">MainStay Epoch US Small Cap I      </t>
  </si>
  <si>
    <t xml:space="preserve">Natixis US Equity Opportunties A   </t>
  </si>
  <si>
    <t xml:space="preserve">Olstein Funds                           </t>
  </si>
  <si>
    <t xml:space="preserve">Olstein All Cap Value C            </t>
  </si>
  <si>
    <t xml:space="preserve">Wells Fargo VT Opp 2               </t>
  </si>
  <si>
    <t xml:space="preserve">American Century Equity Income A   </t>
  </si>
  <si>
    <t xml:space="preserve">American Funds Fundamntl Invs F2   </t>
  </si>
  <si>
    <t xml:space="preserve">JPMorgan Small Cap Growth L        </t>
  </si>
  <si>
    <t xml:space="preserve">MSIF Trust Mid Cap Growth A        </t>
  </si>
  <si>
    <t xml:space="preserve">Goldman Sachs Mid Cap Value Svc    </t>
  </si>
  <si>
    <t xml:space="preserve">Invesco Equally-Weighted S&amp;P 500 A </t>
  </si>
  <si>
    <t xml:space="preserve">JPMorgan Small Cap Growth R6       </t>
  </si>
  <si>
    <t>BlackRock Value Opportunities Inv A</t>
  </si>
  <si>
    <t xml:space="preserve">Columbia Real Estate Equity R4     </t>
  </si>
  <si>
    <t xml:space="preserve">Columbia Real Estate Equity Y      </t>
  </si>
  <si>
    <t xml:space="preserve">RBC Small Cap Core I               </t>
  </si>
  <si>
    <t xml:space="preserve">Victory RS Small Cap Growth R      </t>
  </si>
  <si>
    <t xml:space="preserve">AllianzGI Global Small Cap C       </t>
  </si>
  <si>
    <t xml:space="preserve">AllianzGI NFJ Small Cap Value C    </t>
  </si>
  <si>
    <t xml:space="preserve">American Funds Fundamntl Invs R6   </t>
  </si>
  <si>
    <t xml:space="preserve">Invesco Mid Cap Growth R5          </t>
  </si>
  <si>
    <t xml:space="preserve">ClearBridge Small Cap FI           </t>
  </si>
  <si>
    <t xml:space="preserve">MainStay MAP Equity R2             </t>
  </si>
  <si>
    <t xml:space="preserve">Royce Micro-Cap Svc                </t>
  </si>
  <si>
    <t xml:space="preserve">American Century Heritage R6       </t>
  </si>
  <si>
    <t xml:space="preserve">American Funds New Perspectve 529A </t>
  </si>
  <si>
    <t xml:space="preserve">Emerald Growth A                   </t>
  </si>
  <si>
    <t xml:space="preserve">Federated Clover Small Value C     </t>
  </si>
  <si>
    <t xml:space="preserve">Delaware Small Cap Value R         </t>
  </si>
  <si>
    <t xml:space="preserve">Tocqueville Opportunity            </t>
  </si>
  <si>
    <t xml:space="preserve">Hartford Growth Opportunities R4   </t>
  </si>
  <si>
    <t xml:space="preserve">MFS Value A                        </t>
  </si>
  <si>
    <t xml:space="preserve">American Century Real Estate A     </t>
  </si>
  <si>
    <t xml:space="preserve">Columbia Small Cap Index T         </t>
  </si>
  <si>
    <t xml:space="preserve">Gabelli Value 25 A                 </t>
  </si>
  <si>
    <t xml:space="preserve">J Hancock VIT Real Est Sec I       </t>
  </si>
  <si>
    <t xml:space="preserve">MFS Utilities B                    </t>
  </si>
  <si>
    <t xml:space="preserve">MFS Utilities C                    </t>
  </si>
  <si>
    <t xml:space="preserve">Nuveen Small Cap Select I          </t>
  </si>
  <si>
    <t xml:space="preserve">Royce PA Mutual Fd Cons            </t>
  </si>
  <si>
    <t xml:space="preserve">Vanguard Small-Cap Index Inst      </t>
  </si>
  <si>
    <t xml:space="preserve">American Funds AMCAP 529A          </t>
  </si>
  <si>
    <t xml:space="preserve">American Funds Cap Wld Gr&amp;Inc 529A </t>
  </si>
  <si>
    <t xml:space="preserve">American Funds New Perspectve F1   </t>
  </si>
  <si>
    <t xml:space="preserve">American Funds New Perspectve R4   </t>
  </si>
  <si>
    <t xml:space="preserve">Columbia Real Estate Equity R5     </t>
  </si>
  <si>
    <t xml:space="preserve">Columbia Small Cap Index A         </t>
  </si>
  <si>
    <t xml:space="preserve">Columbia Small Cap Index K         </t>
  </si>
  <si>
    <t xml:space="preserve">Columbia Small Cap Value I A       </t>
  </si>
  <si>
    <t xml:space="preserve">Fidelity Export and Multination K  </t>
  </si>
  <si>
    <t xml:space="preserve">JPMorgan Small Cap Value A         </t>
  </si>
  <si>
    <t xml:space="preserve">Delaware Smid Cap Growth I         </t>
  </si>
  <si>
    <t xml:space="preserve">Nuveen Small Cap Value I           </t>
  </si>
  <si>
    <t xml:space="preserve">Royce Micro-Cap Inv                </t>
  </si>
  <si>
    <t xml:space="preserve">Vanguard Explorer Fund Inv         </t>
  </si>
  <si>
    <t xml:space="preserve">BlackRock Global Small Cap Inv B   </t>
  </si>
  <si>
    <t xml:space="preserve">Columbia Small Cap Index Y         </t>
  </si>
  <si>
    <t xml:space="preserve">JPMorgan Small Cap Growth I        </t>
  </si>
  <si>
    <t xml:space="preserve">Lord Abbett Mid Cap Stock R2       </t>
  </si>
  <si>
    <t xml:space="preserve">MainStay MAP Equity A              </t>
  </si>
  <si>
    <t xml:space="preserve">Natixis Vaug Nel Sm Cp Val A       </t>
  </si>
  <si>
    <t xml:space="preserve">Oppenheimer Global I               </t>
  </si>
  <si>
    <t xml:space="preserve">Royce Low Priced Stock Svc         </t>
  </si>
  <si>
    <t xml:space="preserve">Victory Sycamore Small Co Oppty R  </t>
  </si>
  <si>
    <t xml:space="preserve">American Funds AMCAP R4            </t>
  </si>
  <si>
    <t xml:space="preserve">BMO Mid-Cap Value R-3              </t>
  </si>
  <si>
    <t xml:space="preserve">Columbia Acorn International R4    </t>
  </si>
  <si>
    <t xml:space="preserve">Eaton Vance Small Cap Inst         </t>
  </si>
  <si>
    <t xml:space="preserve">J Hancock VIT Real Est Sec NAV     </t>
  </si>
  <si>
    <t xml:space="preserve">American Funds Cap Wld Gr&amp;Inc R4   </t>
  </si>
  <si>
    <t xml:space="preserve">American Funds Gr Fnd of Amer 529C </t>
  </si>
  <si>
    <t>Invesco Equally-Weighted S&amp;P 500 R6</t>
  </si>
  <si>
    <t>Morgan Stanley Multi Cap Gr Trust A</t>
  </si>
  <si>
    <t xml:space="preserve">Delafield                          </t>
  </si>
  <si>
    <t xml:space="preserve">American Funds AMCAP F1            </t>
  </si>
  <si>
    <t xml:space="preserve">American Funds Cap Wld Gr&amp;Inc F1   </t>
  </si>
  <si>
    <t xml:space="preserve">American Funds Fundamntl Invs R5   </t>
  </si>
  <si>
    <t xml:space="preserve">Columbia Acorn International Z     </t>
  </si>
  <si>
    <t xml:space="preserve">Columbia Seligman Comm &amp; Info C    </t>
  </si>
  <si>
    <t xml:space="preserve">Janus Henderson Venture C          </t>
  </si>
  <si>
    <t xml:space="preserve">BlackRock Global Small Cap Inv C   </t>
  </si>
  <si>
    <t xml:space="preserve">Columbia Acorn International R5    </t>
  </si>
  <si>
    <t xml:space="preserve">Franklin Utilities R               </t>
  </si>
  <si>
    <t xml:space="preserve">Janus Henderson Enterprise S       </t>
  </si>
  <si>
    <t xml:space="preserve">Weitz Partners-Partners Value Inv  </t>
  </si>
  <si>
    <t xml:space="preserve">Alger Spectra I                    </t>
  </si>
  <si>
    <t xml:space="preserve">Columbia Acorn International Y     </t>
  </si>
  <si>
    <t xml:space="preserve">Lord Abbett Mid Cap Stock R3       </t>
  </si>
  <si>
    <t xml:space="preserve">Tributary Funds                         </t>
  </si>
  <si>
    <t xml:space="preserve">Tributary Small Company Inst       </t>
  </si>
  <si>
    <t xml:space="preserve">Columbia Small Cap Index R5        </t>
  </si>
  <si>
    <t xml:space="preserve">Columbia Small Cap Value I R4      </t>
  </si>
  <si>
    <t xml:space="preserve">Eagle Capital Appreciation A       </t>
  </si>
  <si>
    <t xml:space="preserve">Franklin Mutual Global Discovery A </t>
  </si>
  <si>
    <t xml:space="preserve">Ivy Small Cap Core A               </t>
  </si>
  <si>
    <t xml:space="preserve">American Funds Gr Fnd of Amer C    </t>
  </si>
  <si>
    <t xml:space="preserve">Janus Henderson Enterprise A       </t>
  </si>
  <si>
    <t xml:space="preserve">MFS New Discovery I                </t>
  </si>
  <si>
    <t>American Funds New Perspectve 529F1</t>
  </si>
  <si>
    <t xml:space="preserve">American Funds New Perspectve A    </t>
  </si>
  <si>
    <t xml:space="preserve">CRM Funds                               </t>
  </si>
  <si>
    <t xml:space="preserve">CRM Small Cap Value Inv            </t>
  </si>
  <si>
    <t xml:space="preserve">Eaton Vance Dividend Builder Fd C  </t>
  </si>
  <si>
    <t xml:space="preserve">J Hancock Disciplined Val MC C     </t>
  </si>
  <si>
    <t xml:space="preserve">ClearBridge Aggressive Growth B    </t>
  </si>
  <si>
    <t xml:space="preserve">Victory RS Select Growth R         </t>
  </si>
  <si>
    <t xml:space="preserve">American Funds Gr Fnd of Amer R1   </t>
  </si>
  <si>
    <t xml:space="preserve">American Funds New Perspectve F3   </t>
  </si>
  <si>
    <t xml:space="preserve">American Funds New Perspectve R5E  </t>
  </si>
  <si>
    <t xml:space="preserve">BlackRock Mid Cap Div Inv A        </t>
  </si>
  <si>
    <t xml:space="preserve">Columbia Real Estate Equity Z      </t>
  </si>
  <si>
    <t xml:space="preserve">Fidelity Adv Value Strategies Fd   </t>
  </si>
  <si>
    <t xml:space="preserve">Prudential Jennison Equity Oppty R </t>
  </si>
  <si>
    <t xml:space="preserve">Wells Fargo Growth Adm             </t>
  </si>
  <si>
    <t xml:space="preserve">American Funds AMCAP 529F1         </t>
  </si>
  <si>
    <t xml:space="preserve">Columbia Disciplined Small Core R4 </t>
  </si>
  <si>
    <t xml:space="preserve">Columbia Disciplined Small Core Z  </t>
  </si>
  <si>
    <t xml:space="preserve">Columbia Small Cap Value I R5      </t>
  </si>
  <si>
    <t xml:space="preserve">Federated Kaufmann R               </t>
  </si>
  <si>
    <t xml:space="preserve">Fidelity Adv Value Strategies I    </t>
  </si>
  <si>
    <t xml:space="preserve">American Century Heritage I        </t>
  </si>
  <si>
    <t xml:space="preserve">American Funds AMCAP A             </t>
  </si>
  <si>
    <t>American Funds Cap Wld Gr&amp;Inc 529F1</t>
  </si>
  <si>
    <t xml:space="preserve">Federated Kaufmann A               </t>
  </si>
  <si>
    <t xml:space="preserve">Salient Intl Small Cap Inst        </t>
  </si>
  <si>
    <t xml:space="preserve">American Century Intl Disc Inv     </t>
  </si>
  <si>
    <t xml:space="preserve">American Funds AMCAP F3            </t>
  </si>
  <si>
    <t xml:space="preserve">American Funds Cap Wld Gr&amp;Inc A    </t>
  </si>
  <si>
    <t xml:space="preserve">American Funds Gr Fnd of Amer R2   </t>
  </si>
  <si>
    <t xml:space="preserve">Columbia Seligman Global Tech A    </t>
  </si>
  <si>
    <t xml:space="preserve">Emerald Growth Institutional       </t>
  </si>
  <si>
    <t xml:space="preserve">Federated Kaufmann Institutional   </t>
  </si>
  <si>
    <t xml:space="preserve">Hartford Growth Opportunities I    </t>
  </si>
  <si>
    <t xml:space="preserve">American Funds AMCAP R5E           </t>
  </si>
  <si>
    <t xml:space="preserve">American Funds Cap Wld Gr&amp;Inc F3   </t>
  </si>
  <si>
    <t xml:space="preserve">American Funds Cap Wld Gr&amp;Inc R5E  </t>
  </si>
  <si>
    <t xml:space="preserve">BlackRock Mid Cap Growth Eq Inst   </t>
  </si>
  <si>
    <t xml:space="preserve">GMO International Small Co III     </t>
  </si>
  <si>
    <t xml:space="preserve">Columbia Disciplined Small Core R5 </t>
  </si>
  <si>
    <t xml:space="preserve">Hartford Growth Opportunities R5   </t>
  </si>
  <si>
    <t xml:space="preserve">MFS Value R4                       </t>
  </si>
  <si>
    <t xml:space="preserve">MFS Value R6                       </t>
  </si>
  <si>
    <t xml:space="preserve">Alger Spectra A                    </t>
  </si>
  <si>
    <t xml:space="preserve">AMG Mgrs Skyline Special Eq N      </t>
  </si>
  <si>
    <t xml:space="preserve">Columbia Acorn USA A               </t>
  </si>
  <si>
    <t xml:space="preserve">Columbia Disciplined Small Core Y  </t>
  </si>
  <si>
    <t xml:space="preserve">Dreyfus/Boston Co Sm/Mid Cap Gro A </t>
  </si>
  <si>
    <t xml:space="preserve">Oppenheimer Global Y               </t>
  </si>
  <si>
    <t xml:space="preserve">Royce Low Priced Stock Inv         </t>
  </si>
  <si>
    <t>Sterling Capital Beh SC Val Eq Inst</t>
  </si>
  <si>
    <t xml:space="preserve">Wells Fargo Util and Tel Inst      </t>
  </si>
  <si>
    <t xml:space="preserve">Fidelity Select Brkg and Inv Mgmt  </t>
  </si>
  <si>
    <t xml:space="preserve">Natixis Vaug Nel Sm Cp Val Y       </t>
  </si>
  <si>
    <t xml:space="preserve">Sterling Capital Mid Value A       </t>
  </si>
  <si>
    <t xml:space="preserve">Fidelity Select Insurance          </t>
  </si>
  <si>
    <t xml:space="preserve">Great-West S&amp;P SC 600 Index Inv    </t>
  </si>
  <si>
    <t xml:space="preserve">Victory RS Small Cap Equity A      </t>
  </si>
  <si>
    <t xml:space="preserve">Voya Small Company A               </t>
  </si>
  <si>
    <t xml:space="preserve">Voya Small Company O               </t>
  </si>
  <si>
    <t xml:space="preserve">Columbia Seligman Comm &amp; Info B    </t>
  </si>
  <si>
    <t xml:space="preserve">Fidelity Adv Consumer Staples I    </t>
  </si>
  <si>
    <t xml:space="preserve">Prudential Jennison Mid-Cap Gro R  </t>
  </si>
  <si>
    <t xml:space="preserve">Prudential Jennison Utility R      </t>
  </si>
  <si>
    <t xml:space="preserve">American Century Equity Income Inv </t>
  </si>
  <si>
    <t xml:space="preserve">Columbia Seligman Global Tech R4   </t>
  </si>
  <si>
    <t xml:space="preserve">Columbia Small Cap Value I Y       </t>
  </si>
  <si>
    <t xml:space="preserve">Fidelity Adv Materials I           </t>
  </si>
  <si>
    <t xml:space="preserve">Fidelity Select Consu Staples Port </t>
  </si>
  <si>
    <t xml:space="preserve">Fidelity Select Materials Port     </t>
  </si>
  <si>
    <t xml:space="preserve">Royce Low Priced Stock I           </t>
  </si>
  <si>
    <t xml:space="preserve">Royce Total Return K               </t>
  </si>
  <si>
    <t xml:space="preserve">Virtus KAR Small Cap Core I        </t>
  </si>
  <si>
    <t xml:space="preserve">American Funds New Perspectve F2   </t>
  </si>
  <si>
    <t xml:space="preserve">Columbia Seligman Global Tech K    </t>
  </si>
  <si>
    <t xml:space="preserve">Invesco Equally-Weighted S&amp;P 500 Y </t>
  </si>
  <si>
    <t xml:space="preserve">JPMorgan Small Cap Value R5        </t>
  </si>
  <si>
    <t xml:space="preserve">MSIF Trust Mid Cap Growth I        </t>
  </si>
  <si>
    <t xml:space="preserve">Hartford Growth Oppty HLS IC       </t>
  </si>
  <si>
    <t xml:space="preserve">MainStay MAP Equity R1             </t>
  </si>
  <si>
    <t xml:space="preserve">S&amp;P SmallCap Index Direct          </t>
  </si>
  <si>
    <t xml:space="preserve">Vanguard Strategic Equity Inv      </t>
  </si>
  <si>
    <t xml:space="preserve">BlackRock Value Opportunities Inst </t>
  </si>
  <si>
    <t xml:space="preserve">Columbia Seligman Global Tech Z    </t>
  </si>
  <si>
    <t xml:space="preserve">First Eagle                             </t>
  </si>
  <si>
    <t xml:space="preserve">First Eagle Fund of America Y      </t>
  </si>
  <si>
    <t xml:space="preserve">Loomis Sayles SmCp Val Adm         </t>
  </si>
  <si>
    <t xml:space="preserve">American Funds AMCAP F2            </t>
  </si>
  <si>
    <t xml:space="preserve">American Funds New Perspectve R6   </t>
  </si>
  <si>
    <t xml:space="preserve">Wells Fargo Comm Stk A             </t>
  </si>
  <si>
    <t xml:space="preserve">American Century Real Estate Inv   </t>
  </si>
  <si>
    <t xml:space="preserve">American Funds Cap Wld Gr&amp;Inc F2   </t>
  </si>
  <si>
    <t xml:space="preserve">DFA United Kingdom Small Co Inst   </t>
  </si>
  <si>
    <t xml:space="preserve">Dreyfus Opportunistic Midcap Val C </t>
  </si>
  <si>
    <t xml:space="preserve">Victory Sycamore Small Co Oppty A  </t>
  </si>
  <si>
    <t xml:space="preserve">Eaton Vance Greater India A        </t>
  </si>
  <si>
    <t xml:space="preserve">Franklin Mutual European R         </t>
  </si>
  <si>
    <t xml:space="preserve">Hartford Growth Opportunities Y    </t>
  </si>
  <si>
    <t xml:space="preserve">Delaware Small Cap Value A         </t>
  </si>
  <si>
    <t xml:space="preserve">Victory RS Small Cap Equity Y      </t>
  </si>
  <si>
    <t xml:space="preserve">Wells Fargo Discovery Adm          </t>
  </si>
  <si>
    <t xml:space="preserve">American Funds AMCAP R6            </t>
  </si>
  <si>
    <t xml:space="preserve">Hartford Growth Opps HLS Fd IB     </t>
  </si>
  <si>
    <t xml:space="preserve">Hartford Growth Oppty HLS IB       </t>
  </si>
  <si>
    <t xml:space="preserve">JPMorgan Small Cap Value I         </t>
  </si>
  <si>
    <t xml:space="preserve">JPMorgan Small Cap Value R6        </t>
  </si>
  <si>
    <t xml:space="preserve">American Funds Cap Wld Gr&amp;Inc R6   </t>
  </si>
  <si>
    <t xml:space="preserve">Columbia Small Cap Index Z         </t>
  </si>
  <si>
    <t xml:space="preserve">Columbia Small Cap Value I Z       </t>
  </si>
  <si>
    <t xml:space="preserve">Dreyfus/Boston Co Sm/Mid Cap Gro I </t>
  </si>
  <si>
    <t xml:space="preserve">JPMorgan Mid Cap Gr A              </t>
  </si>
  <si>
    <t xml:space="preserve">BMO Mid-Cap Value A                </t>
  </si>
  <si>
    <t xml:space="preserve">Columbia Small Cap Growth I R      </t>
  </si>
  <si>
    <t>Fidelity Adv Stk Selector Mid Cap M</t>
  </si>
  <si>
    <t xml:space="preserve">Great-West Loomis Sayles SCV Inv   </t>
  </si>
  <si>
    <t xml:space="preserve">Royce Total Return Svc             </t>
  </si>
  <si>
    <t xml:space="preserve">Columbia Seligman Global Tech R5   </t>
  </si>
  <si>
    <t xml:space="preserve">First Eagle Fund of America I      </t>
  </si>
  <si>
    <t xml:space="preserve">Gabelli Asset A                    </t>
  </si>
  <si>
    <t xml:space="preserve">Gabelli Asset AAA                  </t>
  </si>
  <si>
    <t xml:space="preserve">ClearBridge Aggressive Growth C    </t>
  </si>
  <si>
    <t>Morgan Stanley Multi Cap Gr Trust I</t>
  </si>
  <si>
    <t xml:space="preserve">Natixis US Equity Opportunties Y   </t>
  </si>
  <si>
    <t xml:space="preserve">Virtus Ceredex Sm Cap Val Eq C     </t>
  </si>
  <si>
    <t xml:space="preserve">Wells Fargo Growth Instl           </t>
  </si>
  <si>
    <t xml:space="preserve">MainStay MAP Equity I              </t>
  </si>
  <si>
    <t xml:space="preserve">American Funds Gr Fnd of Amer R2E  </t>
  </si>
  <si>
    <t xml:space="preserve">American Funds New Perspectve R5   </t>
  </si>
  <si>
    <t xml:space="preserve">MFS Value I                        </t>
  </si>
  <si>
    <t xml:space="preserve">Victory Sycamore Small Co Oppty I  </t>
  </si>
  <si>
    <t xml:space="preserve">American Century Intl Disc I       </t>
  </si>
  <si>
    <t xml:space="preserve">Hartford SmallCap Growth R3        </t>
  </si>
  <si>
    <t xml:space="preserve">Hotchkis and Wiley Small Cap Val C </t>
  </si>
  <si>
    <t xml:space="preserve">Janus Henderson Enterprise T       </t>
  </si>
  <si>
    <t xml:space="preserve">Delaware RE Inv A                  </t>
  </si>
  <si>
    <t xml:space="preserve">Madison Mid Cap Y                  </t>
  </si>
  <si>
    <t>Victory RS Science and Technology A</t>
  </si>
  <si>
    <t xml:space="preserve">Wasatch Funds                           </t>
  </si>
  <si>
    <t xml:space="preserve">Wasatch Ultra Growth Investor      </t>
  </si>
  <si>
    <t xml:space="preserve">American Funds AMCAP R5            </t>
  </si>
  <si>
    <t xml:space="preserve">American Funds Cap Wld Gr&amp;Inc R5   </t>
  </si>
  <si>
    <t xml:space="preserve">Janus Henderson Enterprise D       </t>
  </si>
  <si>
    <t xml:space="preserve">Wells Fargo Global Opps A          </t>
  </si>
  <si>
    <t xml:space="preserve">Rice Hall James Micro Cap Port     </t>
  </si>
  <si>
    <t xml:space="preserve">Northern Small Cap Value           </t>
  </si>
  <si>
    <t xml:space="preserve">Royce PA Mutual Fd R               </t>
  </si>
  <si>
    <t xml:space="preserve">Janus Henderson Enterprise Svc     </t>
  </si>
  <si>
    <t xml:space="preserve">Scout Small Cap Fund               </t>
  </si>
  <si>
    <t xml:space="preserve">DFA International Sm Cap Val Inst  </t>
  </si>
  <si>
    <t xml:space="preserve">Hartford Capital Apprec R3         </t>
  </si>
  <si>
    <t xml:space="preserve">Ivy Small Cap Core I               </t>
  </si>
  <si>
    <t xml:space="preserve">Wells Fargo Discovery Inst         </t>
  </si>
  <si>
    <t xml:space="preserve">Alger Mid Cap Growth Inst I        </t>
  </si>
  <si>
    <t xml:space="preserve">American Century Equity Income I   </t>
  </si>
  <si>
    <t xml:space="preserve">Eaton Vance Greater India I        </t>
  </si>
  <si>
    <t xml:space="preserve">Invesco Real Estate R              </t>
  </si>
  <si>
    <t xml:space="preserve">Janus Henderson Enterprise I       </t>
  </si>
  <si>
    <t xml:space="preserve">Janus Henderson Enterprise N       </t>
  </si>
  <si>
    <t xml:space="preserve">BlackRock Mid Cap Div Inst         </t>
  </si>
  <si>
    <t xml:space="preserve">Franklin Mutual Global Discovery Z </t>
  </si>
  <si>
    <t xml:space="preserve">Franklin Utilities A               </t>
  </si>
  <si>
    <t xml:space="preserve">HSBC Investors Fund                     </t>
  </si>
  <si>
    <t xml:space="preserve">HSBC Opportunity A                 </t>
  </si>
  <si>
    <t xml:space="preserve">Ivy Small Cap Core N               </t>
  </si>
  <si>
    <t xml:space="preserve">Dodge &amp; Cox                             </t>
  </si>
  <si>
    <t xml:space="preserve">Dodge &amp; Cox Stk Fund               </t>
  </si>
  <si>
    <t xml:space="preserve">Fidelity Adv Stk Selector Mid Cap  </t>
  </si>
  <si>
    <t xml:space="preserve">Franklin Mutual European A         </t>
  </si>
  <si>
    <t xml:space="preserve">Sterling Capital Mid Value I       </t>
  </si>
  <si>
    <t xml:space="preserve">American Funds Ins Ser Glb Gro 4   </t>
  </si>
  <si>
    <t xml:space="preserve">Invesco Global Health Care A       </t>
  </si>
  <si>
    <t xml:space="preserve">Invesco Global Health Care Inv     </t>
  </si>
  <si>
    <t xml:space="preserve">Pioneer Real Estate Shares Y       </t>
  </si>
  <si>
    <t xml:space="preserve">Prudential Jennison Equity Oppty A </t>
  </si>
  <si>
    <t xml:space="preserve">William Blair Small Cap Value N    </t>
  </si>
  <si>
    <t xml:space="preserve">Fidelity Adv Industrials M         </t>
  </si>
  <si>
    <t>Franklin Mutual Global Discovery R6</t>
  </si>
  <si>
    <t xml:space="preserve">Janus Henderson Forty C            </t>
  </si>
  <si>
    <t xml:space="preserve">Sterling Capital Stratton RE Inst  </t>
  </si>
  <si>
    <t xml:space="preserve">Fidelity Nordic Fund               </t>
  </si>
  <si>
    <t xml:space="preserve">Goldman Sachs Mid Cap Value Inst   </t>
  </si>
  <si>
    <t xml:space="preserve">Waddell &amp; Reed Adv New Concepts A  </t>
  </si>
  <si>
    <t xml:space="preserve">American Century Real Estate I     </t>
  </si>
  <si>
    <t xml:space="preserve">Franklin Utilities R6              </t>
  </si>
  <si>
    <t xml:space="preserve">Victory RS Small Cap Growth A      </t>
  </si>
  <si>
    <t xml:space="preserve">Federated Clover Small Value R     </t>
  </si>
  <si>
    <t>Fidelity Adv Stk Selector Mid Cap A</t>
  </si>
  <si>
    <t xml:space="preserve">Keeley Funds                            </t>
  </si>
  <si>
    <t xml:space="preserve">KEELEY Small Cap Value A           </t>
  </si>
  <si>
    <t xml:space="preserve">Loomis Sayles SmCp Val Ret         </t>
  </si>
  <si>
    <t xml:space="preserve">Voya Small Cap Opps Port I         </t>
  </si>
  <si>
    <t xml:space="preserve">Columbia Seligman Comm &amp; Info R    </t>
  </si>
  <si>
    <t xml:space="preserve">Hartford SmallCap Growth A         </t>
  </si>
  <si>
    <t>Victory RS Science and Technology Y</t>
  </si>
  <si>
    <t xml:space="preserve">Voya Small Company I               </t>
  </si>
  <si>
    <t xml:space="preserve">Columbia Acorn USA R4              </t>
  </si>
  <si>
    <t xml:space="preserve">Columbia Acorn USA Z               </t>
  </si>
  <si>
    <t xml:space="preserve">Columbia Small Cap Growth I A      </t>
  </si>
  <si>
    <t xml:space="preserve">Dreyfus Smallcap Stock Index Inv   </t>
  </si>
  <si>
    <t xml:space="preserve">Heartland Select Value Inv         </t>
  </si>
  <si>
    <t xml:space="preserve">Wells Fargo Global Opps Adm        </t>
  </si>
  <si>
    <t xml:space="preserve">American Funds Gr Fnd of Amer 529E </t>
  </si>
  <si>
    <t xml:space="preserve">Lord Abbett Mid Cap Stock A        </t>
  </si>
  <si>
    <t xml:space="preserve">Royce Total Return Fd              </t>
  </si>
  <si>
    <t xml:space="preserve">Columbia Acorn USA R5              </t>
  </si>
  <si>
    <t xml:space="preserve">Gabelli Capital Asset Fund         </t>
  </si>
  <si>
    <t xml:space="preserve">Hartford Growth Opps HLS Fd IA     </t>
  </si>
  <si>
    <t xml:space="preserve">Hartford Growth Oppty HLS IA       </t>
  </si>
  <si>
    <t xml:space="preserve">Hartford SmallCap Growth R4        </t>
  </si>
  <si>
    <t xml:space="preserve">Prudential Jennison Mid-Cap Gro A  </t>
  </si>
  <si>
    <t xml:space="preserve">Royce Total Return W               </t>
  </si>
  <si>
    <t xml:space="preserve">Wanger Funds                            </t>
  </si>
  <si>
    <t xml:space="preserve">Wanger USA                         </t>
  </si>
  <si>
    <t xml:space="preserve">AllianzGI NFJ Small Cap Value R    </t>
  </si>
  <si>
    <t xml:space="preserve">American Funds Gr Fnd of Amer R3   </t>
  </si>
  <si>
    <t xml:space="preserve">Columbia Acorn USA Y               </t>
  </si>
  <si>
    <t xml:space="preserve">Hartford Capital Apprec A          </t>
  </si>
  <si>
    <t xml:space="preserve">Invesco Global Health Care Y       </t>
  </si>
  <si>
    <t xml:space="preserve">Delaware Small Cap Value I         </t>
  </si>
  <si>
    <t xml:space="preserve">Royce PA Mutual Fd K               </t>
  </si>
  <si>
    <t xml:space="preserve">Wells Fargo VT Dscvry 2            </t>
  </si>
  <si>
    <t xml:space="preserve">Brandes Intl Small Cap Equity A    </t>
  </si>
  <si>
    <t xml:space="preserve">AB Equity Income A                 </t>
  </si>
  <si>
    <t xml:space="preserve">Delaware RE Inv Inst               </t>
  </si>
  <si>
    <t xml:space="preserve">BMO Mid-Cap Value R-6              </t>
  </si>
  <si>
    <t xml:space="preserve">JPMorgan Mid Cap Gr I              </t>
  </si>
  <si>
    <t xml:space="preserve">Prudential QMA Small-Cap Value C   </t>
  </si>
  <si>
    <t xml:space="preserve">Royce Premier Cons                 </t>
  </si>
  <si>
    <t xml:space="preserve">Voya Multi Manager Internatl SC A  </t>
  </si>
  <si>
    <t xml:space="preserve">AllianzGI NFJ Mid Cap Value C      </t>
  </si>
  <si>
    <t xml:space="preserve">BlackRock Global SmallCap R        </t>
  </si>
  <si>
    <t xml:space="preserve">Franklin Utilities Adv             </t>
  </si>
  <si>
    <t xml:space="preserve">Hartford Capital Apprec HLS IC     </t>
  </si>
  <si>
    <t xml:space="preserve">Dreyfus/Boston Co Sm Cap Growth I  </t>
  </si>
  <si>
    <t xml:space="preserve">Fidelity Select Industrials Port   </t>
  </si>
  <si>
    <t xml:space="preserve">ClearBridge Small Cap I            </t>
  </si>
  <si>
    <t xml:space="preserve">Royce Total Return Inst            </t>
  </si>
  <si>
    <t xml:space="preserve">Vanguard REIT Index Inv            </t>
  </si>
  <si>
    <t xml:space="preserve">DFA US Small Cap Port Inst         </t>
  </si>
  <si>
    <t xml:space="preserve">JPMorgan Mid Cap Gr R5             </t>
  </si>
  <si>
    <t xml:space="preserve">Brandes Intl Small Cap Equity I    </t>
  </si>
  <si>
    <t xml:space="preserve">Gabelli Small Cap Growth C         </t>
  </si>
  <si>
    <t xml:space="preserve">Janus Henderson Enterprise Inst    </t>
  </si>
  <si>
    <t xml:space="preserve">Victory RS Partners R              </t>
  </si>
  <si>
    <t xml:space="preserve">AB Equity Income Z                 </t>
  </si>
  <si>
    <t xml:space="preserve">BMO Mid-Cap Value I                </t>
  </si>
  <si>
    <t xml:space="preserve">JPMorgan Mid Cap Gr R6             </t>
  </si>
  <si>
    <t>Oakmark International Small Cap Inv</t>
  </si>
  <si>
    <t xml:space="preserve">Oberweis Micro Cap Investor        </t>
  </si>
  <si>
    <t xml:space="preserve">Hartford Capital Apprec HLS IB     </t>
  </si>
  <si>
    <t xml:space="preserve">Hartford SmallCap Growth I         </t>
  </si>
  <si>
    <t xml:space="preserve">Invesco Real Estate A              </t>
  </si>
  <si>
    <t xml:space="preserve">Invesco Real Estate Investor       </t>
  </si>
  <si>
    <t xml:space="preserve">Victory RS Small Cap Growth Y      </t>
  </si>
  <si>
    <t xml:space="preserve">Heartland Select Value Inst        </t>
  </si>
  <si>
    <t xml:space="preserve">William Blair Small Cap Value I    </t>
  </si>
  <si>
    <t xml:space="preserve">Prudential Jennison Utility A      </t>
  </si>
  <si>
    <t xml:space="preserve">Invesco Small Cap Growth B         </t>
  </si>
  <si>
    <t xml:space="preserve">Voya Small Company Port I          </t>
  </si>
  <si>
    <t xml:space="preserve">Hartford Capital Apprec R4         </t>
  </si>
  <si>
    <t xml:space="preserve">Fidelity Adv Industrials A         </t>
  </si>
  <si>
    <t xml:space="preserve">AllianzGI Micro Cap A              </t>
  </si>
  <si>
    <t xml:space="preserve">Columbia Acorn C                   </t>
  </si>
  <si>
    <t xml:space="preserve">Hartford SmallCap Growth R5        </t>
  </si>
  <si>
    <t xml:space="preserve">Goldman Sachs Small Cap Value Svc  </t>
  </si>
  <si>
    <t xml:space="preserve">Hartford Capital Apprec I          </t>
  </si>
  <si>
    <t xml:space="preserve">Mairs &amp; Power Funds                     </t>
  </si>
  <si>
    <t xml:space="preserve">Mairs &amp; Power Growth Fund          </t>
  </si>
  <si>
    <t xml:space="preserve">Prudential Jennison Equity Oppty Z </t>
  </si>
  <si>
    <t xml:space="preserve">Victory RS Select Growth A         </t>
  </si>
  <si>
    <t xml:space="preserve">AllianzGI Global Small Cap A       </t>
  </si>
  <si>
    <t xml:space="preserve">Fidelity Contrafund Fd             </t>
  </si>
  <si>
    <t xml:space="preserve">Prudential Jennison Equity Oppty Q </t>
  </si>
  <si>
    <t xml:space="preserve">Victory Sycamore Established Val R </t>
  </si>
  <si>
    <t xml:space="preserve">Ariel Funds                             </t>
  </si>
  <si>
    <t xml:space="preserve">Ariel Fund Investor                </t>
  </si>
  <si>
    <t xml:space="preserve">Invesco Real Estate Y              </t>
  </si>
  <si>
    <t xml:space="preserve">AllianzGI NFJ Small Cap Value A    </t>
  </si>
  <si>
    <t xml:space="preserve">Fidelity Mid-Cap Stock Fund        </t>
  </si>
  <si>
    <t xml:space="preserve">Invesco Real Estate R6             </t>
  </si>
  <si>
    <t xml:space="preserve">Loomis Sayles SmCp Val Inst        </t>
  </si>
  <si>
    <t xml:space="preserve">Matthews Asian Growth &amp; Income Inv </t>
  </si>
  <si>
    <t xml:space="preserve">Columbia Seligman Comm &amp; Info A    </t>
  </si>
  <si>
    <t xml:space="preserve">Franklin Mutual European Z         </t>
  </si>
  <si>
    <t xml:space="preserve">JPMorgan Small Cap Equity C        </t>
  </si>
  <si>
    <t xml:space="preserve">ClearBridge Aggressive Growth R    </t>
  </si>
  <si>
    <t xml:space="preserve">MSIF US Real Estate A              </t>
  </si>
  <si>
    <t xml:space="preserve">T Rowe Price Small Cap Stock Adv   </t>
  </si>
  <si>
    <t xml:space="preserve">American Funds Ins Ser Glb Gro 1A  </t>
  </si>
  <si>
    <t xml:space="preserve">Columbia Small Cap Growth I K      </t>
  </si>
  <si>
    <t xml:space="preserve">Lord Abbett Small Cap Value B      </t>
  </si>
  <si>
    <t xml:space="preserve">MFS Utilities A                    </t>
  </si>
  <si>
    <t xml:space="preserve">Osterweis Funds                         </t>
  </si>
  <si>
    <t xml:space="preserve">Osterweis                          </t>
  </si>
  <si>
    <t xml:space="preserve">Virtus Ceredex Sm Cap Val Eq A     </t>
  </si>
  <si>
    <t xml:space="preserve">Fidelity Real Estate Investment    </t>
  </si>
  <si>
    <t xml:space="preserve">Fidelity Contrafund K              </t>
  </si>
  <si>
    <t xml:space="preserve">Fidelity OTC Portfolio Fd          </t>
  </si>
  <si>
    <t xml:space="preserve">Janus Henderson Venture S          </t>
  </si>
  <si>
    <t xml:space="preserve">Lord Abbett Small Cap Value C      </t>
  </si>
  <si>
    <t xml:space="preserve">Perritt Funds                           </t>
  </si>
  <si>
    <t xml:space="preserve">Perritt MicroCap Opportunities     </t>
  </si>
  <si>
    <t xml:space="preserve">Columbia Small Cap Growth I Z      </t>
  </si>
  <si>
    <t xml:space="preserve">Janus Henderson Forty R            </t>
  </si>
  <si>
    <t xml:space="preserve">American Funds Gr Fnd of Amer 529A </t>
  </si>
  <si>
    <t xml:space="preserve">Columbia Seligman Comm &amp; Info R4   </t>
  </si>
  <si>
    <t xml:space="preserve">Columbia Small Cap Growth I R4     </t>
  </si>
  <si>
    <t xml:space="preserve">Franklin Mutual European R6        </t>
  </si>
  <si>
    <t xml:space="preserve">Goldman Sachs Small Cap Value A    </t>
  </si>
  <si>
    <t xml:space="preserve">Prudential Jennison Mid-Cap Gro Z  </t>
  </si>
  <si>
    <t xml:space="preserve">Columbia Seligman Comm &amp; Info K    </t>
  </si>
  <si>
    <t xml:space="preserve">Hartford SmallCap Growth Y         </t>
  </si>
  <si>
    <t xml:space="preserve">Janus Henderson Venture A          </t>
  </si>
  <si>
    <t>Fidelity Adv Stk Selector Mid Cap I</t>
  </si>
  <si>
    <t xml:space="preserve">Fidelity Mid-Cap Stock Fund K      </t>
  </si>
  <si>
    <t xml:space="preserve">American Funds Gr Fnd of Amer R4   </t>
  </si>
  <si>
    <t xml:space="preserve">RBC Micro Cap Value I              </t>
  </si>
  <si>
    <t xml:space="preserve">American Funds Gr Fnd of Amer F1   </t>
  </si>
  <si>
    <t xml:space="preserve">Columbia Small Cap Growth I R5     </t>
  </si>
  <si>
    <t xml:space="preserve">MSVIF US Real Estate I             </t>
  </si>
  <si>
    <t xml:space="preserve">AllianzGI NFJ Small Cap Value Admn </t>
  </si>
  <si>
    <t xml:space="preserve">MSIF Small Company Growth A        </t>
  </si>
  <si>
    <t xml:space="preserve">Voya Multi Manager Internatl SC I  </t>
  </si>
  <si>
    <t xml:space="preserve">AB Equity Income Adv               </t>
  </si>
  <si>
    <t xml:space="preserve">Columbia Seligman Comm &amp; Info Z    </t>
  </si>
  <si>
    <t xml:space="preserve">Federated Clover Small Value A     </t>
  </si>
  <si>
    <t xml:space="preserve">Fidelity OTC Portfolio K           </t>
  </si>
  <si>
    <t xml:space="preserve">Prudential Jennison Mid-Cap Gro Q  </t>
  </si>
  <si>
    <t xml:space="preserve">Victory Integrity Discovery C      </t>
  </si>
  <si>
    <t xml:space="preserve">Columbia Small Cap Growth I Y      </t>
  </si>
  <si>
    <t xml:space="preserve">Federated Clover Small Value R6    </t>
  </si>
  <si>
    <t xml:space="preserve">J Hancock Disciplined Val MC A     </t>
  </si>
  <si>
    <t xml:space="preserve">BlackRock Global Small Cap Inv A   </t>
  </si>
  <si>
    <t xml:space="preserve">Hartford Capital Apprec HLS IA     </t>
  </si>
  <si>
    <t xml:space="preserve">Voya Real Estate I                 </t>
  </si>
  <si>
    <t xml:space="preserve">Waddell &amp; Reed Adv New Concepts Y  </t>
  </si>
  <si>
    <t>DFA Real Estate Securities Ptf Inst</t>
  </si>
  <si>
    <t xml:space="preserve">Victory Sycamore Established Val A </t>
  </si>
  <si>
    <t xml:space="preserve">AllianzGI Micro Cap P              </t>
  </si>
  <si>
    <t xml:space="preserve">American Funds Gr Fnd of Amer A    </t>
  </si>
  <si>
    <t xml:space="preserve">AllianzGI NFJ Mid Cap Value P      </t>
  </si>
  <si>
    <t>American Funds Gr Fnd of Amer 529F1</t>
  </si>
  <si>
    <t xml:space="preserve">American Funds Gr Fnd of Amer F3   </t>
  </si>
  <si>
    <t xml:space="preserve">American Funds Gr Fnd of Amer R5E  </t>
  </si>
  <si>
    <t xml:space="preserve">Eaton Vance Dividend Builder Fd A  </t>
  </si>
  <si>
    <t xml:space="preserve">Hartford SmallCap Growth HLS IB    </t>
  </si>
  <si>
    <t xml:space="preserve">AllianzGI Micro Cap Inst           </t>
  </si>
  <si>
    <t xml:space="preserve">Fidelity Select Technology         </t>
  </si>
  <si>
    <t xml:space="preserve">MFS Utilities R4                   </t>
  </si>
  <si>
    <t xml:space="preserve">Victory Sycamore Established Val I </t>
  </si>
  <si>
    <t xml:space="preserve">Wells Fargo Spec Sm Cp Val A       </t>
  </si>
  <si>
    <t xml:space="preserve">Invesco Real Estate R5             </t>
  </si>
  <si>
    <t xml:space="preserve">AllianzGI NFJ Mid-Cap Value R      </t>
  </si>
  <si>
    <t xml:space="preserve">Federated Clover Small Value Inst  </t>
  </si>
  <si>
    <t xml:space="preserve">HSBC Opportunity I                 </t>
  </si>
  <si>
    <t xml:space="preserve">Prudential Jennison Utility Z      </t>
  </si>
  <si>
    <t xml:space="preserve">AMG Mgrs Emerging Opps N           </t>
  </si>
  <si>
    <t xml:space="preserve">GMO Foreign Small Companies III    </t>
  </si>
  <si>
    <t xml:space="preserve">Hartford Capital Apprec R5         </t>
  </si>
  <si>
    <t xml:space="preserve">Ariel Appreciation Fund Investor   </t>
  </si>
  <si>
    <t xml:space="preserve">Fidelity Adv Health Care C         </t>
  </si>
  <si>
    <t xml:space="preserve">Fidelity Adv Industrials I         </t>
  </si>
  <si>
    <t xml:space="preserve">Lord Abbett Small Cap Value R2     </t>
  </si>
  <si>
    <t xml:space="preserve">Prudential QMA Small-Cap Value R   </t>
  </si>
  <si>
    <t xml:space="preserve">Royce PA Mutual Fd Inv             </t>
  </si>
  <si>
    <t xml:space="preserve">Sterling Cap Stratton SC Val Inst  </t>
  </si>
  <si>
    <t xml:space="preserve">Hennessy Gas Utility Investor      </t>
  </si>
  <si>
    <t xml:space="preserve">J Hancock Disciplined Val MC R6    </t>
  </si>
  <si>
    <t xml:space="preserve">Victory RS Select Growth Y         </t>
  </si>
  <si>
    <t xml:space="preserve">T Rowe Price Small Cap Stock       </t>
  </si>
  <si>
    <t xml:space="preserve">Touchstone Mid Cap Growth C        </t>
  </si>
  <si>
    <t xml:space="preserve">AMG Mgrs Cadence Emerg Cos N       </t>
  </si>
  <si>
    <t xml:space="preserve">Hartford Schroders US SmCp Opps A  </t>
  </si>
  <si>
    <t xml:space="preserve">ClearBridge Aggressive Growth A    </t>
  </si>
  <si>
    <t xml:space="preserve">American Funds Gr Fnd of Amer F2   </t>
  </si>
  <si>
    <t xml:space="preserve">AMG Mgrs Emerging Opps I           </t>
  </si>
  <si>
    <t xml:space="preserve">Hartford Capital Apprec Y          </t>
  </si>
  <si>
    <t xml:space="preserve">ClearBridge Aggressive Growth FI   </t>
  </si>
  <si>
    <t xml:space="preserve">Principal Cap Appreciation Fd R1   </t>
  </si>
  <si>
    <t xml:space="preserve">Royce Micro-Cap Port Inv           </t>
  </si>
  <si>
    <t xml:space="preserve">Royce Premier R                    </t>
  </si>
  <si>
    <t xml:space="preserve">Victory RS Partners A              </t>
  </si>
  <si>
    <t xml:space="preserve">American Funds Ins Ser Growth 4    </t>
  </si>
  <si>
    <t xml:space="preserve">Dreyfus Opportunistic Midcap Val A </t>
  </si>
  <si>
    <t xml:space="preserve">Lord Abbett Small Cap Value R3     </t>
  </si>
  <si>
    <t xml:space="preserve">MFS Utilities I                    </t>
  </si>
  <si>
    <t xml:space="preserve">Janus Henderson Venture T          </t>
  </si>
  <si>
    <t xml:space="preserve">Alger Capital Apprec I2            </t>
  </si>
  <si>
    <t xml:space="preserve">AllianzGI Global Small Cap P       </t>
  </si>
  <si>
    <t xml:space="preserve">American Funds Gr Fnd of Amer R6   </t>
  </si>
  <si>
    <t xml:space="preserve">MSIF US Real Estate I              </t>
  </si>
  <si>
    <t xml:space="preserve">FPA US Value Inc                   </t>
  </si>
  <si>
    <t xml:space="preserve">Janus Henderson Forty S            </t>
  </si>
  <si>
    <t xml:space="preserve">Eaton Vance Dividend Builder Fd I  </t>
  </si>
  <si>
    <t xml:space="preserve">Hotchkis and Wiley Small Cap Val A </t>
  </si>
  <si>
    <t xml:space="preserve">Janus Henderson Forty D            </t>
  </si>
  <si>
    <t xml:space="preserve">Janus Henderson Small Cap Value C  </t>
  </si>
  <si>
    <t xml:space="preserve">Wanger International               </t>
  </si>
  <si>
    <t xml:space="preserve">DFA US Micro Cap Portfolio Inst    </t>
  </si>
  <si>
    <t xml:space="preserve">Franklin MicroCap Value A          </t>
  </si>
  <si>
    <t xml:space="preserve">Janus Henderson Venture D          </t>
  </si>
  <si>
    <t xml:space="preserve">AllianzGI Global Small Cap Inst    </t>
  </si>
  <si>
    <t xml:space="preserve">Fidelity Growth Company Fd         </t>
  </si>
  <si>
    <t xml:space="preserve">Janus Henderson Venture I          </t>
  </si>
  <si>
    <t xml:space="preserve">Virtus Ceredex Sm Cap Val Eq I     </t>
  </si>
  <si>
    <t xml:space="preserve">Value Line Premier Growth Inv      </t>
  </si>
  <si>
    <t xml:space="preserve">AllianzGI NFJ Small Cap Value P    </t>
  </si>
  <si>
    <t xml:space="preserve">Columbia Seligman Comm &amp; Info R5   </t>
  </si>
  <si>
    <t xml:space="preserve">Fidelity Select Constn and Housing </t>
  </si>
  <si>
    <t xml:space="preserve">Ivy Small Cap Growth C             </t>
  </si>
  <si>
    <t xml:space="preserve">Janus Henderson Forty Svc          </t>
  </si>
  <si>
    <t xml:space="preserve">Janus Henderson Venture N          </t>
  </si>
  <si>
    <t xml:space="preserve">Principal Cap Appreciation Fd R2   </t>
  </si>
  <si>
    <t xml:space="preserve">American Funds Gr Fnd of Amer R5   </t>
  </si>
  <si>
    <t xml:space="preserve">J Hancock Disciplined Val MC Inst  </t>
  </si>
  <si>
    <t xml:space="preserve">T Rowe Price Small Cap Value Adv   </t>
  </si>
  <si>
    <t xml:space="preserve">VY Clarion Real Estate Svc         </t>
  </si>
  <si>
    <t xml:space="preserve">Alger Capital Appreciation Inst I  </t>
  </si>
  <si>
    <t xml:space="preserve">MSIF Small Company Growth I        </t>
  </si>
  <si>
    <t xml:space="preserve">Amana Growth Investor              </t>
  </si>
  <si>
    <t xml:space="preserve">Dreyfus Opportunistic Midcap Val I </t>
  </si>
  <si>
    <t xml:space="preserve">Hartford SmallCap Growth HLS IA    </t>
  </si>
  <si>
    <t xml:space="preserve">Royce Small-Cap Port Inv           </t>
  </si>
  <si>
    <t xml:space="preserve">Federated Mid-Cap Index Svc        </t>
  </si>
  <si>
    <t xml:space="preserve">Fidelity Value Strategies Fund K   </t>
  </si>
  <si>
    <t xml:space="preserve">Franklin MicroCap Value R6         </t>
  </si>
  <si>
    <t xml:space="preserve">Janus Henderson Forty T            </t>
  </si>
  <si>
    <t xml:space="preserve">Federated Mid-Cap Index R6         </t>
  </si>
  <si>
    <t xml:space="preserve">Fidelity Growth Company K          </t>
  </si>
  <si>
    <t xml:space="preserve">Fidelity Select Health Care Srvcs  </t>
  </si>
  <si>
    <t xml:space="preserve">Wells Fargo Spec Sm Cp Val Adm     </t>
  </si>
  <si>
    <t xml:space="preserve">AllianzGI NFJ Small Cap Value Inst </t>
  </si>
  <si>
    <t xml:space="preserve">Janus Henderson Forty A            </t>
  </si>
  <si>
    <t xml:space="preserve">AllianzGI NFJ Small Cap Value R6   </t>
  </si>
  <si>
    <t xml:space="preserve">BlackRock Global Small Cap Inst    </t>
  </si>
  <si>
    <t xml:space="preserve">Cohen &amp; Steers Realty Shares       </t>
  </si>
  <si>
    <t xml:space="preserve">Invesco Small Cap Growth R         </t>
  </si>
  <si>
    <t xml:space="preserve">Janus Henderson Forty N            </t>
  </si>
  <si>
    <t xml:space="preserve">Victory RS Partners Y              </t>
  </si>
  <si>
    <t xml:space="preserve">Amana Growth Institutional         </t>
  </si>
  <si>
    <t xml:space="preserve">Dreyfus Midcap Index Inv           </t>
  </si>
  <si>
    <t xml:space="preserve">State Street Real Estate Sec VIS 1 </t>
  </si>
  <si>
    <t xml:space="preserve">Virtus Duff &amp; Phelps RE Secs A     </t>
  </si>
  <si>
    <t xml:space="preserve">Baron Growth Fd Retail             </t>
  </si>
  <si>
    <t xml:space="preserve">Principal Cap Appreciation Fd R3   </t>
  </si>
  <si>
    <t>Dreyfus Opportunistic Small Cap Inv</t>
  </si>
  <si>
    <t xml:space="preserve">Federated Mid-Cap Index Inst       </t>
  </si>
  <si>
    <t xml:space="preserve">Franklin MicroCap Value Adv        </t>
  </si>
  <si>
    <t xml:space="preserve">Fiduciary Management Funds              </t>
  </si>
  <si>
    <t xml:space="preserve">FMI Common Stock Investor          </t>
  </si>
  <si>
    <t xml:space="preserve">Parnassus Core Equity Inv          </t>
  </si>
  <si>
    <t xml:space="preserve">AMG Mgrs Cadence Emerg Cos I       </t>
  </si>
  <si>
    <t xml:space="preserve">Principal Cap Appreciation Fd A    </t>
  </si>
  <si>
    <t xml:space="preserve">Quaker Strategic Growth A          </t>
  </si>
  <si>
    <t xml:space="preserve">Adv Inn Cir ICM Sm Co I            </t>
  </si>
  <si>
    <t xml:space="preserve">Hartford Schroders US SmCp Opps I  </t>
  </si>
  <si>
    <t xml:space="preserve">Principal Cap Appreciation Fd R4   </t>
  </si>
  <si>
    <t xml:space="preserve">DFA US Small Cap Value I Inst      </t>
  </si>
  <si>
    <t xml:space="preserve">Hotchkis and Wiley Small Cap Val I </t>
  </si>
  <si>
    <t xml:space="preserve">Baron Growth Inst                  </t>
  </si>
  <si>
    <t xml:space="preserve">JPMorgan Mid Cap Equity I          </t>
  </si>
  <si>
    <t xml:space="preserve">Prudential QMA Small-Cap Value A   </t>
  </si>
  <si>
    <t xml:space="preserve">Eaton Vance WW Health Sciences B   </t>
  </si>
  <si>
    <t xml:space="preserve">T Rowe Price Mid-Cap Value R       </t>
  </si>
  <si>
    <t xml:space="preserve">Janus Henderson Forty I            </t>
  </si>
  <si>
    <t xml:space="preserve">Neuberger Berman Genesis Adv       </t>
  </si>
  <si>
    <t xml:space="preserve">Oppenheimer Developing Mkts B      </t>
  </si>
  <si>
    <t xml:space="preserve">Principal Cap Appreciation Fd R5   </t>
  </si>
  <si>
    <t xml:space="preserve">Virtus Duff &amp; Phelps RE Secs I     </t>
  </si>
  <si>
    <t xml:space="preserve">Calamos Funds                           </t>
  </si>
  <si>
    <t xml:space="preserve">Calamos Growth C                   </t>
  </si>
  <si>
    <t xml:space="preserve">Hennessy Small Cap Financial Inv   </t>
  </si>
  <si>
    <t xml:space="preserve">Matthews Korea Fund Inv            </t>
  </si>
  <si>
    <t xml:space="preserve">Vanguard PRIMECAP Inv              </t>
  </si>
  <si>
    <t xml:space="preserve">Wasatch Small Cap Growth Investor  </t>
  </si>
  <si>
    <t xml:space="preserve">Eaton Vance WW Health Sciences C   </t>
  </si>
  <si>
    <t xml:space="preserve">AllianzGI NFJ Mid Cap Value A      </t>
  </si>
  <si>
    <t xml:space="preserve">JPMorgan Small Cap Equity A        </t>
  </si>
  <si>
    <t xml:space="preserve">T Rowe Price Small Cap Value       </t>
  </si>
  <si>
    <t xml:space="preserve">Janus Henderson Forty Inst         </t>
  </si>
  <si>
    <t xml:space="preserve">American Funds Ins Ser Growth 1A   </t>
  </si>
  <si>
    <t xml:space="preserve">ICON Healthcare S                  </t>
  </si>
  <si>
    <t xml:space="preserve">Oppenheimer Developing Mkts C      </t>
  </si>
  <si>
    <t xml:space="preserve">Royce Premier Svc                  </t>
  </si>
  <si>
    <t xml:space="preserve">SunAmerica VAL Co I Midcap Idx Fd  </t>
  </si>
  <si>
    <t xml:space="preserve">Gabelli Small Cap Growth A         </t>
  </si>
  <si>
    <t xml:space="preserve">Gabelli Small Cap Growth AAA       </t>
  </si>
  <si>
    <t xml:space="preserve">Matthew 25 Fund                         </t>
  </si>
  <si>
    <t xml:space="preserve">Matthew 25 Fund                    </t>
  </si>
  <si>
    <t xml:space="preserve">ClearBridge Aggressive Growth I    </t>
  </si>
  <si>
    <t xml:space="preserve">Fidelity New Millennium            </t>
  </si>
  <si>
    <t xml:space="preserve">S&amp;P MidCap Index Direct            </t>
  </si>
  <si>
    <t xml:space="preserve">AllianzGI NFJ Mid Cap Value Admn   </t>
  </si>
  <si>
    <t xml:space="preserve">Invesco Small Cap Growth A         </t>
  </si>
  <si>
    <t xml:space="preserve">Invesco Small Cap Growth Inv       </t>
  </si>
  <si>
    <t xml:space="preserve">Columbia Acorn A                   </t>
  </si>
  <si>
    <t xml:space="preserve">Fidelity Adv Health Care M         </t>
  </si>
  <si>
    <t xml:space="preserve">Hotchkis and Wiley Mid-Cap Val C   </t>
  </si>
  <si>
    <t xml:space="preserve">Wells Fargo Sm Cp Opp Adm          </t>
  </si>
  <si>
    <t xml:space="preserve">Lord Abbett Small Cap Value A      </t>
  </si>
  <si>
    <t xml:space="preserve">Royce Small Mid Cap Premier Cons   </t>
  </si>
  <si>
    <t xml:space="preserve">Nuveen Real Estate Securities A    </t>
  </si>
  <si>
    <t>Vanguard International Explorer Inv</t>
  </si>
  <si>
    <t xml:space="preserve">Baron Partners Retail              </t>
  </si>
  <si>
    <t xml:space="preserve">Janus Henderson Small Cap Value R  </t>
  </si>
  <si>
    <t xml:space="preserve">Invesco Small Cap Growth R6        </t>
  </si>
  <si>
    <t xml:space="preserve">Invesco Small Cap Growth Y         </t>
  </si>
  <si>
    <t xml:space="preserve">T Rowe Price New Horizons          </t>
  </si>
  <si>
    <t xml:space="preserve">T Rowe Price Mid-Cap Value Adv     </t>
  </si>
  <si>
    <t xml:space="preserve">DFA Continental Small Co Inst      </t>
  </si>
  <si>
    <t xml:space="preserve">Neuberger Berman Genesis Tr        </t>
  </si>
  <si>
    <t xml:space="preserve">Principal Cap Appreciation Fd Inst </t>
  </si>
  <si>
    <t xml:space="preserve">Prudential QMA Small-Cap Value Z   </t>
  </si>
  <si>
    <t xml:space="preserve">Royce Premier Fd                   </t>
  </si>
  <si>
    <t xml:space="preserve">Value Line Small Cap Opps Inv      </t>
  </si>
  <si>
    <t xml:space="preserve">AllianzGI International Sm Cp C    </t>
  </si>
  <si>
    <t xml:space="preserve">AMG Mgrs Fairpointe Mid Cap N      </t>
  </si>
  <si>
    <t xml:space="preserve">Prudential QMA Small-Cap Value Q   </t>
  </si>
  <si>
    <t xml:space="preserve">Great-West Ariel Mid Cap Val Inv   </t>
  </si>
  <si>
    <t xml:space="preserve">Royce Premier W                    </t>
  </si>
  <si>
    <t xml:space="preserve">JPMorgan Small Cap Equity R5       </t>
  </si>
  <si>
    <t xml:space="preserve">Neuberger Berman Genesis Inv       </t>
  </si>
  <si>
    <t xml:space="preserve">Victory Integrity Discovery A      </t>
  </si>
  <si>
    <t xml:space="preserve">AllianzGI NFJ Mid Cap Value Inst   </t>
  </si>
  <si>
    <t xml:space="preserve">Royce Premier Inst                 </t>
  </si>
  <si>
    <t xml:space="preserve">Nationwide Ziegler NYSE Arc T100 A </t>
  </si>
  <si>
    <t xml:space="preserve">Fidelity Adv Health Care A         </t>
  </si>
  <si>
    <t xml:space="preserve">T Rowe Price Mid-Cap Growth R      </t>
  </si>
  <si>
    <t xml:space="preserve">JPMorgan Small Cap Equity I        </t>
  </si>
  <si>
    <t xml:space="preserve">Nuveen Real Estate Securities I    </t>
  </si>
  <si>
    <t xml:space="preserve">Touchstone Mid Cap Growth A        </t>
  </si>
  <si>
    <t xml:space="preserve">Columbia Acorn R4                  </t>
  </si>
  <si>
    <t xml:space="preserve">AMG Mgrs Fairpointe Mid Cap I      </t>
  </si>
  <si>
    <t xml:space="preserve">Columbia Acorn Z                   </t>
  </si>
  <si>
    <t xml:space="preserve">Janus Henderson Small Cap Value S  </t>
  </si>
  <si>
    <t xml:space="preserve">Columbia Acorn R5                  </t>
  </si>
  <si>
    <t xml:space="preserve">Oppenheimer Developing Mkts R      </t>
  </si>
  <si>
    <t xml:space="preserve">Bridgeway Ultra-SmCo Market Fund   </t>
  </si>
  <si>
    <t xml:space="preserve">Columbia Acorn Y                   </t>
  </si>
  <si>
    <t xml:space="preserve">Eaton Vance WW Health Sciences R   </t>
  </si>
  <si>
    <t xml:space="preserve">Fidelity Select Multimedia         </t>
  </si>
  <si>
    <t xml:space="preserve">Janus Henderson Small Cap Value A  </t>
  </si>
  <si>
    <t>Nationwide Ziegler NYSE Arc T100 IS</t>
  </si>
  <si>
    <t xml:space="preserve">Royce Opportunity Fd Cons          </t>
  </si>
  <si>
    <t xml:space="preserve">T Rowe Price Mid-Cap Value Fd      </t>
  </si>
  <si>
    <t xml:space="preserve">Neuberger Berman Genesis Inst      </t>
  </si>
  <si>
    <t xml:space="preserve">Neuberger Berman Intrinsic Val C   </t>
  </si>
  <si>
    <t xml:space="preserve">Meridian Funds                          </t>
  </si>
  <si>
    <t xml:space="preserve">Meridian Growth Legacy             </t>
  </si>
  <si>
    <t xml:space="preserve">Oppenheimer Global Opportunities B </t>
  </si>
  <si>
    <t xml:space="preserve">Bridgeway Aggressive Investor 1 Fd </t>
  </si>
  <si>
    <t xml:space="preserve">Janus Henderson Small Cap Value T  </t>
  </si>
  <si>
    <t xml:space="preserve">Needham Funds                           </t>
  </si>
  <si>
    <t xml:space="preserve">Needham Growth Fund Retail         </t>
  </si>
  <si>
    <t xml:space="preserve">Victory Integrity Discovery Y      </t>
  </si>
  <si>
    <t xml:space="preserve">Janus Henderson Small Cap Value D  </t>
  </si>
  <si>
    <t xml:space="preserve">Oppenheimer Global Opportunities C </t>
  </si>
  <si>
    <t xml:space="preserve">Fidelity Select Leisure            </t>
  </si>
  <si>
    <t xml:space="preserve">Fidelity Select Health Care        </t>
  </si>
  <si>
    <t xml:space="preserve">Great-West T Rowe Price MC Gr Inv  </t>
  </si>
  <si>
    <t xml:space="preserve">Sentinel Small Company A           </t>
  </si>
  <si>
    <t xml:space="preserve">Wasatch Core Growth Investor       </t>
  </si>
  <si>
    <t xml:space="preserve">Calamos Growth A                   </t>
  </si>
  <si>
    <t xml:space="preserve">Ivy Small Cap Growth Y             </t>
  </si>
  <si>
    <t xml:space="preserve">Hotchkis and Wiley Mid-Cap Val R   </t>
  </si>
  <si>
    <t xml:space="preserve">T Rowe Price Mid-Cap Growth Adv    </t>
  </si>
  <si>
    <t xml:space="preserve">Fidelity Adv Health Care I         </t>
  </si>
  <si>
    <t xml:space="preserve">Fidelity Select Chemicals Port     </t>
  </si>
  <si>
    <t xml:space="preserve">Eaton Vance WW Health Sciences A   </t>
  </si>
  <si>
    <t xml:space="preserve">Fidelity Low-Priced Stock Fd       </t>
  </si>
  <si>
    <t xml:space="preserve">Janus Henderson Small Cap Value I  </t>
  </si>
  <si>
    <t xml:space="preserve">Janus Henderson Small Cap Value N  </t>
  </si>
  <si>
    <t xml:space="preserve">Oppenheimer Developing Mkts A      </t>
  </si>
  <si>
    <t xml:space="preserve">AllianzGI International Sm Cp R    </t>
  </si>
  <si>
    <t xml:space="preserve">Janus Henderson Small Cap Value L  </t>
  </si>
  <si>
    <t xml:space="preserve">Neuberger Berman Intrinsic Val A   </t>
  </si>
  <si>
    <t xml:space="preserve">Fidelity Select Transportation     </t>
  </si>
  <si>
    <t xml:space="preserve">Eaton Vance WW Health Sciences I   </t>
  </si>
  <si>
    <t xml:space="preserve">Fidelity Low-Priced Stock K        </t>
  </si>
  <si>
    <t xml:space="preserve">Oakmark Select Investor            </t>
  </si>
  <si>
    <t xml:space="preserve">Sentinel Small Company I           </t>
  </si>
  <si>
    <t xml:space="preserve">Hotchkis and Wiley Mid-Cap Val A   </t>
  </si>
  <si>
    <t xml:space="preserve">Fidelity Select Retailing          </t>
  </si>
  <si>
    <t xml:space="preserve">T Rowe Price Mid-Cap Growth        </t>
  </si>
  <si>
    <t>Neuberger Berman Intrinsic Val Inst</t>
  </si>
  <si>
    <t xml:space="preserve">Oppenheimer Developing Mkts Y      </t>
  </si>
  <si>
    <t xml:space="preserve">Royce Opportunity Fd R             </t>
  </si>
  <si>
    <t>Waddell &amp; Reed Adv Science &amp; Tech B</t>
  </si>
  <si>
    <t xml:space="preserve">Calamos Growth I                   </t>
  </si>
  <si>
    <t xml:space="preserve">AllianzGI International Sm Cp A    </t>
  </si>
  <si>
    <t xml:space="preserve">Oppenheimer Global Opportunities R </t>
  </si>
  <si>
    <t>Waddell &amp; Reed Adv Science &amp; Tech C</t>
  </si>
  <si>
    <t xml:space="preserve">Bridgeway Ultra-SmCo               </t>
  </si>
  <si>
    <t xml:space="preserve">T Rowe Price Intl Discovery        </t>
  </si>
  <si>
    <t xml:space="preserve">Hotchkis and Wiley Mid-Cap Val I   </t>
  </si>
  <si>
    <t xml:space="preserve">Nuveen Small Cap Growth Opps A     </t>
  </si>
  <si>
    <t>Royce Small Mid Cap Premier Service</t>
  </si>
  <si>
    <t xml:space="preserve">Clearwater Small Companies         </t>
  </si>
  <si>
    <t xml:space="preserve">Meridian Contrarian Legacy         </t>
  </si>
  <si>
    <t xml:space="preserve">AllianzGI Technology C             </t>
  </si>
  <si>
    <t xml:space="preserve">Fidelity Sel Defense and Aerospace </t>
  </si>
  <si>
    <t xml:space="preserve">Royce Small Mid Cap Premier Inv    </t>
  </si>
  <si>
    <t xml:space="preserve">Brown Capital Management Funds          </t>
  </si>
  <si>
    <t xml:space="preserve">Brown Capital Mgmt-Small Co Inv    </t>
  </si>
  <si>
    <t xml:space="preserve">T Rowe Price Instl Mid-Cap Eq Gr   </t>
  </si>
  <si>
    <t xml:space="preserve">Royce Opportunity Fd K             </t>
  </si>
  <si>
    <t xml:space="preserve">AllianzGI International Sm Cp P    </t>
  </si>
  <si>
    <t xml:space="preserve">Fidelity Select Air Transport      </t>
  </si>
  <si>
    <t xml:space="preserve">Oppenheimer Global Opportunities A </t>
  </si>
  <si>
    <t xml:space="preserve">AllianzGI International Sm Cp Inst </t>
  </si>
  <si>
    <t xml:space="preserve">Royce Opportunity Fd Svc           </t>
  </si>
  <si>
    <t xml:space="preserve">Nuveen Small Cap Growth Opps I     </t>
  </si>
  <si>
    <t xml:space="preserve">Oppenheimer Global Opportunities I </t>
  </si>
  <si>
    <t xml:space="preserve">Royce Opportunity Fd Inv           </t>
  </si>
  <si>
    <t xml:space="preserve">Oppenheimer Global Opportunities Y </t>
  </si>
  <si>
    <t xml:space="preserve">Royce Opportunity Fd Inst          </t>
  </si>
  <si>
    <t xml:space="preserve">Guggenheim Mid Cap Value A         </t>
  </si>
  <si>
    <t xml:space="preserve">AllianzGI Technology A             </t>
  </si>
  <si>
    <t xml:space="preserve">Hennessy Focus Investor            </t>
  </si>
  <si>
    <t>AllianzGI Technology Administrative</t>
  </si>
  <si>
    <t xml:space="preserve">Ivy Science and Technology C       </t>
  </si>
  <si>
    <t xml:space="preserve">FundVantage Trust                       </t>
  </si>
  <si>
    <t xml:space="preserve">Private Capital Management Value I </t>
  </si>
  <si>
    <t xml:space="preserve">Broadview Funds                         </t>
  </si>
  <si>
    <t xml:space="preserve">Broadview Opportunity              </t>
  </si>
  <si>
    <t>Waddell &amp; Reed Adv Science &amp; Tech A</t>
  </si>
  <si>
    <t xml:space="preserve">Artisan Mid Cap Fund Inv           </t>
  </si>
  <si>
    <t xml:space="preserve">Artisan Mid Cap Adv                </t>
  </si>
  <si>
    <t xml:space="preserve">AllianzGI Technology P             </t>
  </si>
  <si>
    <t xml:space="preserve">AllianzGI Technology Institutional </t>
  </si>
  <si>
    <t xml:space="preserve">Fidelity Select Biotech Port       </t>
  </si>
  <si>
    <t>Waddell &amp; Reed Adv Science &amp; Tech Y</t>
  </si>
  <si>
    <t xml:space="preserve">Vanguard Capital Opportunity Inv   </t>
  </si>
  <si>
    <t xml:space="preserve">Vanguard Health Care Inv           </t>
  </si>
  <si>
    <t xml:space="preserve">Fidelity Select Sware and IT Svcs  </t>
  </si>
  <si>
    <t xml:space="preserve">CGM Funds                               </t>
  </si>
  <si>
    <t xml:space="preserve">CGM Realty                         </t>
  </si>
  <si>
    <t xml:space="preserve">Hartford MidCap HLS Fd IB          </t>
  </si>
  <si>
    <t xml:space="preserve">Hartford MidCap HLS IB             </t>
  </si>
  <si>
    <t xml:space="preserve">Hartford MidCap HLS Fd IA          </t>
  </si>
  <si>
    <t xml:space="preserve">Hartford MidCap HLS IA             </t>
  </si>
  <si>
    <t xml:space="preserve">Ivy Science and Technology Y       </t>
  </si>
  <si>
    <t xml:space="preserve">Wasatch Micro Cap Investor         </t>
  </si>
  <si>
    <t xml:space="preserve">T Rowe Price Health Sciences       </t>
  </si>
  <si>
    <t xml:space="preserve">T Rowe Price Media and Telecomm    </t>
  </si>
  <si>
    <t>Sum ==&gt;</t>
  </si>
  <si>
    <t>(G3221/3219)^(1/20)-1 ==&gt;</t>
  </si>
  <si>
    <t>Premium</t>
  </si>
  <si>
    <t>Total</t>
  </si>
  <si>
    <t>Rider</t>
  </si>
  <si>
    <t>COI</t>
  </si>
  <si>
    <t>  Beginning Price</t>
  </si>
  <si>
    <t>  Ending Price</t>
  </si>
  <si>
    <t> 68.56</t>
  </si>
  <si>
    <t>SP500 Index return without dividends</t>
  </si>
  <si>
    <t>% Gain or Loss</t>
  </si>
  <si>
    <t>SP500 with dividends</t>
  </si>
  <si>
    <t>Without Dividends</t>
  </si>
  <si>
    <t>With dividends</t>
  </si>
  <si>
    <t>Cap</t>
  </si>
  <si>
    <t>Floor</t>
  </si>
  <si>
    <t>Invest</t>
  </si>
  <si>
    <t>Income</t>
  </si>
  <si>
    <t>Reinvest</t>
  </si>
  <si>
    <t>Market_x000D_
Value</t>
  </si>
  <si>
    <t>Shares</t>
  </si>
  <si>
    <t>NAV</t>
  </si>
  <si>
    <t>Cum.P</t>
  </si>
  <si>
    <t>Period _x000D_End</t>
  </si>
  <si>
    <t>Tax at Sell</t>
  </si>
  <si>
    <t>Taxes_x000D_Paid</t>
  </si>
  <si>
    <t>Capital_x000D_ Gain</t>
  </si>
  <si>
    <t>Fee</t>
  </si>
  <si>
    <t>AGE</t>
  </si>
  <si>
    <t>IMAC</t>
  </si>
  <si>
    <t>PUC</t>
  </si>
  <si>
    <t>CV</t>
  </si>
  <si>
    <t>Earn</t>
  </si>
  <si>
    <t>NAR</t>
  </si>
  <si>
    <t>DB</t>
  </si>
  <si>
    <t>Yearly Invest</t>
  </si>
  <si>
    <t>--- Can't get a new loan because he has no job</t>
  </si>
  <si>
    <t>--- Must sell his house or face fore-closure</t>
  </si>
  <si>
    <t>--- Must sell at a discount and pay realtor commissions (~6%)</t>
  </si>
  <si>
    <t>--- Can easily make mortgage payment using investment savings</t>
  </si>
  <si>
    <t>--- Has no reason to panic, E34remember: "Cash is King!"</t>
  </si>
  <si>
    <t>Stock Average Return</t>
  </si>
  <si>
    <t>20 Years</t>
  </si>
  <si>
    <t>$1</t>
  </si>
  <si>
    <t>Apply Cap/Floor</t>
  </si>
  <si>
    <t>S$P 500</t>
  </si>
  <si>
    <t>COST.Total</t>
  </si>
  <si>
    <t>%CV</t>
  </si>
  <si>
    <t>Retirement difference</t>
  </si>
  <si>
    <t>Yearly Inv.</t>
  </si>
  <si>
    <t>Distribution Phase Prediction</t>
  </si>
  <si>
    <t>Should You Go For Investing in A House or Investing in MF?</t>
  </si>
  <si>
    <t>Income Tax Bracket:</t>
  </si>
  <si>
    <t>Capital Gain Tax:</t>
  </si>
  <si>
    <t>Invest in the property</t>
  </si>
  <si>
    <t>Rent/fee Increase/yr:</t>
  </si>
  <si>
    <t>IUL Cap:</t>
  </si>
  <si>
    <t>IUL Floor:</t>
  </si>
  <si>
    <t>Yearly depreciation:</t>
  </si>
  <si>
    <t>Tax saving:</t>
  </si>
  <si>
    <r>
      <t>Cost</t>
    </r>
    <r>
      <rPr>
        <vertAlign val="superscript"/>
        <sz val="9"/>
        <rFont val="Arial"/>
        <family val="2"/>
      </rPr>
      <t>1</t>
    </r>
  </si>
  <si>
    <r>
      <t>Income</t>
    </r>
    <r>
      <rPr>
        <vertAlign val="superscript"/>
        <sz val="9"/>
        <color indexed="10"/>
        <rFont val="Arial"/>
        <family val="2"/>
      </rPr>
      <t>2</t>
    </r>
  </si>
  <si>
    <r>
      <t>Tax saving</t>
    </r>
    <r>
      <rPr>
        <vertAlign val="superscript"/>
        <sz val="9"/>
        <color indexed="10"/>
        <rFont val="Arial"/>
        <family val="2"/>
      </rPr>
      <t>3</t>
    </r>
  </si>
  <si>
    <r>
      <t>Net income</t>
    </r>
    <r>
      <rPr>
        <vertAlign val="superscript"/>
        <sz val="10"/>
        <rFont val="Arial"/>
        <family val="2"/>
      </rPr>
      <t>4</t>
    </r>
  </si>
  <si>
    <r>
      <t>Net value after sell</t>
    </r>
    <r>
      <rPr>
        <vertAlign val="superscript"/>
        <sz val="10"/>
        <rFont val="Arial"/>
        <family val="2"/>
      </rPr>
      <t>5</t>
    </r>
  </si>
  <si>
    <r>
      <t>Fixed return</t>
    </r>
    <r>
      <rPr>
        <b/>
        <vertAlign val="superscript"/>
        <sz val="9"/>
        <rFont val="Arial"/>
        <family val="2"/>
      </rPr>
      <t>6</t>
    </r>
  </si>
  <si>
    <t>Start year</t>
  </si>
  <si>
    <t xml:space="preserve">With </t>
  </si>
  <si>
    <r>
      <t>Historical</t>
    </r>
    <r>
      <rPr>
        <vertAlign val="superscript"/>
        <sz val="10"/>
        <rFont val="Arial"/>
        <family val="2"/>
      </rPr>
      <t>7</t>
    </r>
  </si>
  <si>
    <r>
      <t>Cap/Floor</t>
    </r>
    <r>
      <rPr>
        <vertAlign val="superscript"/>
        <sz val="10"/>
        <rFont val="Arial"/>
        <family val="2"/>
      </rPr>
      <t>8</t>
    </r>
  </si>
  <si>
    <r>
      <t>IUL cost</t>
    </r>
    <r>
      <rPr>
        <vertAlign val="superscript"/>
        <sz val="10"/>
        <rFont val="Arial"/>
        <family val="2"/>
      </rPr>
      <t>9</t>
    </r>
  </si>
  <si>
    <t xml:space="preserve">1: cost = mortgage payment + property tax + maintainence </t>
  </si>
  <si>
    <t>2: income = rent - cost</t>
  </si>
  <si>
    <t>3: tax saving = mortgage interest * income tax + depreciation * tax saving for depreciation</t>
  </si>
  <si>
    <t>4: net incomde = income + tax saving</t>
  </si>
  <si>
    <t>5: net value after selling = property value - selling cost - mortgage balance - capital gain tax - recapture of depreciation</t>
  </si>
  <si>
    <t>6: fixed return = invest (down payment + draw monthly income) assuming fixed return</t>
  </si>
  <si>
    <t>7:  invest (down payment + draw monthly income) using historical SP 500 return</t>
  </si>
  <si>
    <t>8: invest (down payment + draw monthly income) using historical SP 500 return with CAP and Floor</t>
  </si>
  <si>
    <t>9: invest (down payment + draw monthly income) using historical (SP 500 return with CAP and Floor - IUL cost)</t>
  </si>
  <si>
    <t>Invest down payment + draw monthly income</t>
  </si>
  <si>
    <t>https://www.slickcharts.com/sp500/returns</t>
  </si>
  <si>
    <t>Initial $ ==&gt;</t>
  </si>
  <si>
    <t>SP 500 with CAP / Floor</t>
  </si>
  <si>
    <t>Yearly put</t>
  </si>
  <si>
    <t>  Year</t>
  </si>
  <si>
    <t>  Dow Jones</t>
  </si>
  <si>
    <t>  S&amp;P500</t>
  </si>
  <si>
    <t> NASDAQ</t>
  </si>
  <si>
    <t> 38.32%</t>
  </si>
  <si>
    <t>  Gain or Loss</t>
  </si>
  <si>
    <t>  Percent Gain or Loss</t>
  </si>
  <si>
    <t>Euro Stoxx 50 Index (SX5E) Yearly Returns</t>
  </si>
  <si>
    <t>Hang Seng Index (Hong Kong) Yearly Returns</t>
  </si>
  <si>
    <t>Euro 50</t>
  </si>
  <si>
    <t>HengSeng</t>
  </si>
  <si>
    <t>IAMC</t>
  </si>
  <si>
    <t>Median</t>
  </si>
  <si>
    <t>10Y</t>
  </si>
  <si>
    <t>10Y-cap/f</t>
  </si>
  <si>
    <t>20Y-cap/f</t>
  </si>
  <si>
    <t>Price Return</t>
  </si>
  <si>
    <t>Dividend Return</t>
  </si>
  <si>
    <t>Total Return</t>
  </si>
  <si>
    <t>https://www.slickcharts.com/sp500/returns/details</t>
  </si>
  <si>
    <t>Interest</t>
  </si>
  <si>
    <t>CD</t>
  </si>
  <si>
    <t>Roth 401</t>
  </si>
  <si>
    <t>K: FFIUL, historical return</t>
  </si>
  <si>
    <t>P: FFIUL, illustration return (fixed)</t>
  </si>
  <si>
    <t>Cum. Cost</t>
  </si>
  <si>
    <t>FFIUL</t>
  </si>
  <si>
    <t>IUL costed</t>
  </si>
  <si>
    <t>Return (Fixed), no cost</t>
  </si>
  <si>
    <t>IULcost @yr</t>
  </si>
  <si>
    <t>Cost</t>
  </si>
  <si>
    <t>F: Roth, historical return, no tax,cost =</t>
  </si>
  <si>
    <t>G: Mutual funcd, historical return, taxed on dividend, cost=</t>
  </si>
  <si>
    <t>TO</t>
  </si>
  <si>
    <t>FROM</t>
  </si>
  <si>
    <t xml:space="preserve">S&amp;P500 Average return </t>
  </si>
  <si>
    <t xml:space="preserve">Cap/Floor Average return </t>
  </si>
  <si>
    <t xml:space="preserve">With Cap/Floor </t>
  </si>
  <si>
    <t>10 Years</t>
  </si>
  <si>
    <t>Months to pay off mortgage:</t>
  </si>
  <si>
    <t xml:space="preserve">Fixed </t>
  </si>
  <si>
    <t xml:space="preserve">Value </t>
  </si>
  <si>
    <t xml:space="preserve"> put a starting year, such as 1990</t>
  </si>
  <si>
    <t>Investment return: enter an assuming return such as 8,  or apply historical return</t>
  </si>
  <si>
    <t>Initial Investment === &gt;</t>
  </si>
  <si>
    <t>Balance</t>
  </si>
  <si>
    <t>Reserve credit difference</t>
  </si>
  <si>
    <t>Yearly deduct</t>
  </si>
  <si>
    <t>IUL AV</t>
  </si>
  <si>
    <t>Without COI</t>
  </si>
  <si>
    <t>With COI</t>
  </si>
  <si>
    <t>years</t>
  </si>
  <si>
    <t>IUL Participating Loan</t>
  </si>
  <si>
    <t>Price%</t>
  </si>
  <si>
    <t>PMI (mortgage insurance)</t>
  </si>
  <si>
    <t>PMI</t>
  </si>
  <si>
    <t>% end@</t>
  </si>
  <si>
    <t>Data up to 2017-08-31</t>
  </si>
  <si>
    <t>12/0.0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</si>
</sst>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%"/>
    <numFmt numFmtId="166" formatCode="0.0%"/>
    <numFmt numFmtId="167" formatCode="&quot;$&quot;#,##0"/>
    <numFmt numFmtId="168" formatCode="[$$-540A]#,##0.00"/>
    <numFmt numFmtId="169" formatCode="[$$-409]#,##0"/>
    <numFmt numFmtId="170" formatCode="0.000000"/>
    <numFmt numFmtId="171" formatCode="[$$-C09]#,##0"/>
    <numFmt numFmtId="172" formatCode="[$$-C09]#,##0.00"/>
    <numFmt numFmtId="173" formatCode="[$$-409]#,##0_ ;[Red]\-[$$-409]#,##0\ "/>
    <numFmt numFmtId="174" formatCode="[$$-540A]#,##0_ ;[Red]\-[$$-540A]#,##0\ "/>
    <numFmt numFmtId="175" formatCode="[$$-C09]#,##0;[Red]\-[$$-C09]#,##0"/>
    <numFmt numFmtId="176" formatCode="[$$-1009]#,##0"/>
    <numFmt numFmtId="177" formatCode="0.0000"/>
    <numFmt numFmtId="178" formatCode="&quot;$&quot;#,##0.0"/>
  </numFmts>
  <fonts count="85"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color indexed="53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6"/>
      <color indexed="9"/>
      <name val="Arial Black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b/>
      <sz val="11"/>
      <color indexed="14"/>
      <name val="Arial"/>
      <family val="2"/>
    </font>
    <font>
      <b/>
      <sz val="11"/>
      <color indexed="8"/>
      <name val="Arial"/>
      <family val="2"/>
    </font>
    <font>
      <sz val="16"/>
      <color indexed="9"/>
      <name val="Arial Black"/>
      <family val="2"/>
    </font>
    <font>
      <b/>
      <sz val="11"/>
      <color indexed="12"/>
      <name val="Arial"/>
      <family val="2"/>
    </font>
    <font>
      <sz val="8"/>
      <color indexed="17"/>
      <name val="Arial"/>
      <family val="2"/>
    </font>
    <font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color rgb="FFC00000"/>
      <name val="Arial"/>
      <family val="2"/>
    </font>
    <font>
      <b/>
      <sz val="12"/>
      <color rgb="FFC00000"/>
      <name val="Arial"/>
      <family val="2"/>
    </font>
    <font>
      <b/>
      <sz val="10"/>
      <color rgb="FFFF0000"/>
      <name val="Arial"/>
      <family val="2"/>
    </font>
    <font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b/>
      <sz val="11"/>
      <color theme="3" tint="0.39997558519241921"/>
      <name val="Arial"/>
      <family val="2"/>
    </font>
    <font>
      <b/>
      <sz val="12"/>
      <color rgb="FF000000"/>
      <name val="Arial"/>
      <family val="2"/>
    </font>
    <font>
      <b/>
      <sz val="12"/>
      <color theme="3" tint="0.39997558519241921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vertAlign val="superscript"/>
      <sz val="9"/>
      <color indexed="10"/>
      <name val="Arial"/>
      <family val="2"/>
    </font>
    <font>
      <b/>
      <vertAlign val="superscript"/>
      <sz val="9"/>
      <name val="Arial"/>
      <family val="2"/>
    </font>
    <font>
      <sz val="9"/>
      <color rgb="FFC0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b/>
      <sz val="11"/>
      <color theme="1"/>
      <name val="Arial"/>
      <family val="2"/>
    </font>
    <font>
      <b/>
      <i/>
      <sz val="18"/>
      <color rgb="FF002060"/>
      <name val="Arial Black"/>
      <family val="2"/>
    </font>
    <font>
      <b/>
      <i/>
      <sz val="12"/>
      <color rgb="FFFF000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Arial Narrow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373A3C"/>
      <name val="Arial"/>
      <family val="2"/>
    </font>
    <font>
      <sz val="10"/>
      <name val="Arial Narrow"/>
      <family val="2"/>
    </font>
    <font>
      <b/>
      <sz val="11"/>
      <color rgb="FFFF0000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DF82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DDDDD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EEEEEE"/>
      </bottom>
      <diagonal/>
    </border>
    <border>
      <left style="thin">
        <color indexed="64"/>
      </left>
      <right style="thin">
        <color indexed="64"/>
      </right>
      <top/>
      <bottom style="medium">
        <color rgb="FFEEEEEE"/>
      </bottom>
      <diagonal/>
    </border>
  </borders>
  <cellStyleXfs count="49">
    <xf numFmtId="0" fontId="0" fillId="0" borderId="0"/>
    <xf numFmtId="44" fontId="28" fillId="0" borderId="0" applyFont="0" applyFill="0" applyBorder="0" applyAlignment="0" applyProtection="0"/>
    <xf numFmtId="0" fontId="30" fillId="0" borderId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4" applyNumberFormat="0" applyFill="0" applyAlignment="0" applyProtection="0"/>
    <xf numFmtId="0" fontId="41" fillId="0" borderId="65" applyNumberFormat="0" applyFill="0" applyAlignment="0" applyProtection="0"/>
    <xf numFmtId="0" fontId="42" fillId="0" borderId="66" applyNumberFormat="0" applyFill="0" applyAlignment="0" applyProtection="0"/>
    <xf numFmtId="0" fontId="42" fillId="0" borderId="0" applyNumberFormat="0" applyFill="0" applyBorder="0" applyAlignment="0" applyProtection="0"/>
    <xf numFmtId="0" fontId="43" fillId="23" borderId="0" applyNumberFormat="0" applyBorder="0" applyAlignment="0" applyProtection="0"/>
    <xf numFmtId="0" fontId="44" fillId="24" borderId="0" applyNumberFormat="0" applyBorder="0" applyAlignment="0" applyProtection="0"/>
    <xf numFmtId="0" fontId="45" fillId="25" borderId="0" applyNumberFormat="0" applyBorder="0" applyAlignment="0" applyProtection="0"/>
    <xf numFmtId="0" fontId="46" fillId="26" borderId="67" applyNumberFormat="0" applyAlignment="0" applyProtection="0"/>
    <xf numFmtId="0" fontId="47" fillId="27" borderId="68" applyNumberFormat="0" applyAlignment="0" applyProtection="0"/>
    <xf numFmtId="0" fontId="48" fillId="27" borderId="67" applyNumberFormat="0" applyAlignment="0" applyProtection="0"/>
    <xf numFmtId="0" fontId="49" fillId="0" borderId="69" applyNumberFormat="0" applyFill="0" applyAlignment="0" applyProtection="0"/>
    <xf numFmtId="0" fontId="50" fillId="28" borderId="7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72" applyNumberFormat="0" applyFill="0" applyAlignment="0" applyProtection="0"/>
    <xf numFmtId="0" fontId="5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54" fillId="53" borderId="0" applyNumberFormat="0" applyBorder="0" applyAlignment="0" applyProtection="0"/>
    <xf numFmtId="0" fontId="1" fillId="0" borderId="0"/>
    <xf numFmtId="0" fontId="1" fillId="29" borderId="71" applyNumberFormat="0" applyFont="0" applyAlignment="0" applyProtection="0"/>
    <xf numFmtId="44" fontId="2" fillId="0" borderId="0" applyFont="0" applyFill="0" applyBorder="0" applyAlignment="0" applyProtection="0"/>
    <xf numFmtId="0" fontId="81" fillId="0" borderId="0" applyNumberFormat="0" applyFill="0" applyBorder="0" applyAlignment="0" applyProtection="0"/>
  </cellStyleXfs>
  <cellXfs count="945">
    <xf numFmtId="0" fontId="0" fillId="0" borderId="0" xfId="0"/>
    <xf numFmtId="0" fontId="0" fillId="0" borderId="0" xfId="0" applyBorder="1"/>
    <xf numFmtId="0" fontId="0" fillId="2" borderId="0" xfId="0" applyFill="1"/>
    <xf numFmtId="0" fontId="0" fillId="2" borderId="0" xfId="0" applyFill="1" applyBorder="1"/>
    <xf numFmtId="167" fontId="0" fillId="2" borderId="0" xfId="0" applyNumberFormat="1" applyFill="1" applyBorder="1"/>
    <xf numFmtId="167" fontId="3" fillId="2" borderId="0" xfId="0" applyNumberFormat="1" applyFont="1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0" fontId="3" fillId="2" borderId="0" xfId="0" applyNumberFormat="1" applyFont="1" applyFill="1"/>
    <xf numFmtId="0" fontId="2" fillId="2" borderId="0" xfId="0" applyFont="1" applyFill="1" applyBorder="1"/>
    <xf numFmtId="167" fontId="2" fillId="2" borderId="0" xfId="0" applyNumberFormat="1" applyFont="1" applyFill="1" applyBorder="1"/>
    <xf numFmtId="0" fontId="7" fillId="2" borderId="0" xfId="0" applyFont="1" applyFill="1" applyBorder="1"/>
    <xf numFmtId="167" fontId="7" fillId="2" borderId="0" xfId="0" applyNumberFormat="1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11" fillId="0" borderId="0" xfId="0" applyFont="1"/>
    <xf numFmtId="6" fontId="0" fillId="0" borderId="6" xfId="0" applyNumberFormat="1" applyBorder="1"/>
    <xf numFmtId="0" fontId="0" fillId="7" borderId="7" xfId="0" applyFill="1" applyBorder="1"/>
    <xf numFmtId="0" fontId="0" fillId="0" borderId="6" xfId="0" applyBorder="1"/>
    <xf numFmtId="0" fontId="0" fillId="0" borderId="1" xfId="0" applyBorder="1"/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9" fontId="0" fillId="0" borderId="14" xfId="0" applyNumberFormat="1" applyBorder="1" applyAlignment="1">
      <alignment horizontal="center"/>
    </xf>
    <xf numFmtId="8" fontId="0" fillId="0" borderId="14" xfId="0" applyNumberForma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167" fontId="0" fillId="0" borderId="13" xfId="0" applyNumberFormat="1" applyBorder="1" applyAlignment="1">
      <alignment horizontal="center"/>
    </xf>
    <xf numFmtId="0" fontId="0" fillId="0" borderId="7" xfId="0" applyBorder="1"/>
    <xf numFmtId="6" fontId="0" fillId="0" borderId="7" xfId="0" applyNumberFormat="1" applyBorder="1"/>
    <xf numFmtId="6" fontId="0" fillId="0" borderId="22" xfId="0" applyNumberFormat="1" applyBorder="1"/>
    <xf numFmtId="6" fontId="0" fillId="0" borderId="14" xfId="0" applyNumberFormat="1" applyBorder="1"/>
    <xf numFmtId="6" fontId="0" fillId="0" borderId="3" xfId="0" applyNumberFormat="1" applyBorder="1"/>
    <xf numFmtId="6" fontId="0" fillId="0" borderId="2" xfId="0" applyNumberFormat="1" applyBorder="1"/>
    <xf numFmtId="6" fontId="0" fillId="0" borderId="4" xfId="0" applyNumberFormat="1" applyBorder="1"/>
    <xf numFmtId="6" fontId="0" fillId="0" borderId="15" xfId="0" applyNumberFormat="1" applyBorder="1"/>
    <xf numFmtId="6" fontId="0" fillId="0" borderId="1" xfId="0" applyNumberFormat="1" applyBorder="1"/>
    <xf numFmtId="6" fontId="0" fillId="0" borderId="0" xfId="0" applyNumberFormat="1" applyBorder="1"/>
    <xf numFmtId="6" fontId="0" fillId="0" borderId="5" xfId="0" applyNumberFormat="1" applyBorder="1"/>
    <xf numFmtId="6" fontId="0" fillId="0" borderId="8" xfId="0" applyNumberFormat="1" applyBorder="1"/>
    <xf numFmtId="0" fontId="0" fillId="2" borderId="0" xfId="0" applyFill="1" applyBorder="1" applyAlignment="1">
      <alignment horizontal="right"/>
    </xf>
    <xf numFmtId="8" fontId="0" fillId="2" borderId="0" xfId="0" applyNumberFormat="1" applyFill="1" applyBorder="1"/>
    <xf numFmtId="9" fontId="0" fillId="2" borderId="0" xfId="0" applyNumberFormat="1" applyFill="1" applyBorder="1"/>
    <xf numFmtId="6" fontId="0" fillId="2" borderId="0" xfId="0" applyNumberFormat="1" applyFill="1" applyBorder="1"/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16" fillId="8" borderId="6" xfId="0" applyFont="1" applyFill="1" applyBorder="1" applyAlignment="1">
      <alignment vertical="center"/>
    </xf>
    <xf numFmtId="1" fontId="16" fillId="8" borderId="6" xfId="0" applyNumberFormat="1" applyFont="1" applyFill="1" applyBorder="1" applyAlignment="1">
      <alignment vertical="center"/>
    </xf>
    <xf numFmtId="167" fontId="16" fillId="0" borderId="7" xfId="0" applyNumberFormat="1" applyFont="1" applyBorder="1" applyAlignment="1">
      <alignment vertical="center"/>
    </xf>
    <xf numFmtId="167" fontId="16" fillId="8" borderId="23" xfId="0" applyNumberFormat="1" applyFont="1" applyFill="1" applyBorder="1" applyAlignment="1">
      <alignment vertical="center"/>
    </xf>
    <xf numFmtId="167" fontId="20" fillId="0" borderId="23" xfId="0" applyNumberFormat="1" applyFont="1" applyBorder="1" applyAlignment="1">
      <alignment vertical="center"/>
    </xf>
    <xf numFmtId="167" fontId="20" fillId="0" borderId="24" xfId="0" applyNumberFormat="1" applyFont="1" applyBorder="1" applyAlignment="1">
      <alignment vertical="center"/>
    </xf>
    <xf numFmtId="167" fontId="23" fillId="0" borderId="25" xfId="0" applyNumberFormat="1" applyFont="1" applyBorder="1" applyAlignment="1">
      <alignment horizontal="center"/>
    </xf>
    <xf numFmtId="6" fontId="23" fillId="0" borderId="26" xfId="0" applyNumberFormat="1" applyFont="1" applyBorder="1" applyAlignment="1">
      <alignment horizontal="center"/>
    </xf>
    <xf numFmtId="167" fontId="23" fillId="0" borderId="3" xfId="0" applyNumberFormat="1" applyFont="1" applyBorder="1" applyAlignment="1">
      <alignment horizontal="center"/>
    </xf>
    <xf numFmtId="6" fontId="23" fillId="0" borderId="27" xfId="0" applyNumberFormat="1" applyFont="1" applyBorder="1" applyAlignment="1">
      <alignment horizontal="center"/>
    </xf>
    <xf numFmtId="167" fontId="23" fillId="0" borderId="15" xfId="0" applyNumberFormat="1" applyFont="1" applyBorder="1" applyAlignment="1">
      <alignment horizontal="center"/>
    </xf>
    <xf numFmtId="6" fontId="23" fillId="0" borderId="21" xfId="0" applyNumberFormat="1" applyFont="1" applyBorder="1" applyAlignment="1">
      <alignment horizontal="center"/>
    </xf>
    <xf numFmtId="167" fontId="16" fillId="10" borderId="28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Border="1" applyAlignment="1">
      <alignment vertical="center" wrapText="1"/>
    </xf>
    <xf numFmtId="167" fontId="23" fillId="0" borderId="26" xfId="0" applyNumberFormat="1" applyFont="1" applyBorder="1" applyAlignment="1">
      <alignment horizontal="center"/>
    </xf>
    <xf numFmtId="6" fontId="23" fillId="0" borderId="26" xfId="0" applyNumberFormat="1" applyFont="1" applyBorder="1" applyAlignment="1">
      <alignment horizontal="right"/>
    </xf>
    <xf numFmtId="167" fontId="23" fillId="0" borderId="27" xfId="0" applyNumberFormat="1" applyFont="1" applyBorder="1" applyAlignment="1">
      <alignment horizontal="center"/>
    </xf>
    <xf numFmtId="6" fontId="23" fillId="0" borderId="27" xfId="0" applyNumberFormat="1" applyFont="1" applyBorder="1" applyAlignment="1">
      <alignment horizontal="right"/>
    </xf>
    <xf numFmtId="0" fontId="3" fillId="2" borderId="0" xfId="0" applyNumberFormat="1" applyFont="1" applyFill="1" applyAlignment="1">
      <alignment wrapText="1"/>
    </xf>
    <xf numFmtId="0" fontId="0" fillId="0" borderId="2" xfId="0" applyBorder="1" applyAlignment="1">
      <alignment horizontal="center"/>
    </xf>
    <xf numFmtId="0" fontId="28" fillId="15" borderId="0" xfId="0" applyFont="1" applyFill="1"/>
    <xf numFmtId="0" fontId="3" fillId="15" borderId="0" xfId="0" applyFont="1" applyFill="1" applyBorder="1" applyAlignment="1">
      <alignment horizontal="right" vertical="center"/>
    </xf>
    <xf numFmtId="6" fontId="5" fillId="15" borderId="0" xfId="0" applyNumberFormat="1" applyFont="1" applyFill="1" applyBorder="1" applyAlignment="1">
      <alignment horizontal="center" vertical="center"/>
    </xf>
    <xf numFmtId="165" fontId="16" fillId="8" borderId="23" xfId="0" applyNumberFormat="1" applyFont="1" applyFill="1" applyBorder="1" applyAlignment="1">
      <alignment vertical="center"/>
    </xf>
    <xf numFmtId="10" fontId="26" fillId="15" borderId="37" xfId="0" applyNumberFormat="1" applyFont="1" applyFill="1" applyBorder="1"/>
    <xf numFmtId="0" fontId="26" fillId="15" borderId="20" xfId="0" applyNumberFormat="1" applyFont="1" applyFill="1" applyBorder="1" applyAlignment="1">
      <alignment wrapText="1"/>
    </xf>
    <xf numFmtId="0" fontId="27" fillId="15" borderId="20" xfId="0" applyNumberFormat="1" applyFont="1" applyFill="1" applyBorder="1" applyAlignment="1">
      <alignment wrapText="1"/>
    </xf>
    <xf numFmtId="0" fontId="27" fillId="15" borderId="38" xfId="0" applyFont="1" applyFill="1" applyBorder="1"/>
    <xf numFmtId="167" fontId="26" fillId="15" borderId="37" xfId="0" applyNumberFormat="1" applyFont="1" applyFill="1" applyBorder="1"/>
    <xf numFmtId="10" fontId="0" fillId="0" borderId="0" xfId="0" applyNumberFormat="1"/>
    <xf numFmtId="169" fontId="0" fillId="0" borderId="0" xfId="0" applyNumberFormat="1"/>
    <xf numFmtId="0" fontId="0" fillId="0" borderId="0" xfId="0" applyAlignment="1">
      <alignment horizontal="right"/>
    </xf>
    <xf numFmtId="0" fontId="0" fillId="15" borderId="0" xfId="0" applyFill="1"/>
    <xf numFmtId="0" fontId="0" fillId="0" borderId="0" xfId="0" applyAlignment="1">
      <alignment horizontal="center"/>
    </xf>
    <xf numFmtId="10" fontId="28" fillId="0" borderId="0" xfId="3" applyNumberFormat="1" applyFont="1"/>
    <xf numFmtId="10" fontId="0" fillId="0" borderId="0" xfId="3" applyNumberFormat="1" applyFont="1"/>
    <xf numFmtId="10" fontId="0" fillId="0" borderId="0" xfId="3" applyNumberFormat="1" applyFont="1" applyAlignment="1">
      <alignment horizontal="right"/>
    </xf>
    <xf numFmtId="0" fontId="0" fillId="15" borderId="0" xfId="0" applyFill="1" applyAlignment="1">
      <alignment horizontal="right"/>
    </xf>
    <xf numFmtId="10" fontId="13" fillId="15" borderId="0" xfId="3" applyNumberFormat="1" applyFont="1" applyFill="1"/>
    <xf numFmtId="10" fontId="0" fillId="0" borderId="0" xfId="3" applyNumberFormat="1" applyFont="1" applyAlignment="1">
      <alignment horizontal="center"/>
    </xf>
    <xf numFmtId="169" fontId="0" fillId="0" borderId="0" xfId="0" applyNumberFormat="1" applyAlignment="1">
      <alignment horizontal="right"/>
    </xf>
    <xf numFmtId="10" fontId="0" fillId="0" borderId="14" xfId="0" applyNumberFormat="1" applyBorder="1" applyAlignment="1">
      <alignment horizontal="center"/>
    </xf>
    <xf numFmtId="0" fontId="26" fillId="0" borderId="0" xfId="0" applyFont="1" applyAlignment="1">
      <alignment vertical="center"/>
    </xf>
    <xf numFmtId="10" fontId="26" fillId="0" borderId="0" xfId="0" applyNumberFormat="1" applyFont="1" applyAlignment="1">
      <alignment vertical="center"/>
    </xf>
    <xf numFmtId="0" fontId="26" fillId="2" borderId="0" xfId="0" applyFont="1" applyFill="1" applyAlignment="1">
      <alignment vertical="center"/>
    </xf>
    <xf numFmtId="167" fontId="26" fillId="0" borderId="0" xfId="0" applyNumberFormat="1" applyFont="1" applyAlignment="1">
      <alignment vertical="center"/>
    </xf>
    <xf numFmtId="0" fontId="3" fillId="3" borderId="0" xfId="0" applyNumberFormat="1" applyFont="1" applyFill="1" applyAlignment="1">
      <alignment vertical="center" wrapText="1"/>
    </xf>
    <xf numFmtId="0" fontId="3" fillId="17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0" fontId="3" fillId="17" borderId="0" xfId="0" applyFont="1" applyFill="1" applyAlignment="1">
      <alignment vertical="center"/>
    </xf>
    <xf numFmtId="10" fontId="3" fillId="3" borderId="0" xfId="0" applyNumberFormat="1" applyFont="1" applyFill="1" applyAlignment="1">
      <alignment vertical="center"/>
    </xf>
    <xf numFmtId="0" fontId="0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0" fillId="4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vertical="center"/>
    </xf>
    <xf numFmtId="0" fontId="0" fillId="4" borderId="0" xfId="0" applyFont="1" applyFill="1" applyAlignment="1">
      <alignment vertical="center"/>
    </xf>
    <xf numFmtId="0" fontId="0" fillId="5" borderId="0" xfId="0" applyFont="1" applyFill="1" applyAlignment="1">
      <alignment vertical="center"/>
    </xf>
    <xf numFmtId="0" fontId="0" fillId="20" borderId="38" xfId="0" applyFill="1" applyBorder="1"/>
    <xf numFmtId="167" fontId="0" fillId="20" borderId="38" xfId="0" applyNumberFormat="1" applyFill="1" applyBorder="1"/>
    <xf numFmtId="167" fontId="0" fillId="20" borderId="37" xfId="0" applyNumberFormat="1" applyFill="1" applyBorder="1"/>
    <xf numFmtId="10" fontId="0" fillId="20" borderId="37" xfId="3" applyNumberFormat="1" applyFont="1" applyFill="1" applyBorder="1"/>
    <xf numFmtId="0" fontId="0" fillId="20" borderId="37" xfId="0" applyFill="1" applyBorder="1"/>
    <xf numFmtId="10" fontId="0" fillId="16" borderId="15" xfId="3" applyNumberFormat="1" applyFont="1" applyFill="1" applyBorder="1"/>
    <xf numFmtId="0" fontId="0" fillId="20" borderId="49" xfId="0" applyFill="1" applyBorder="1"/>
    <xf numFmtId="167" fontId="0" fillId="20" borderId="49" xfId="0" applyNumberFormat="1" applyFill="1" applyBorder="1"/>
    <xf numFmtId="167" fontId="3" fillId="17" borderId="45" xfId="0" applyNumberFormat="1" applyFont="1" applyFill="1" applyBorder="1"/>
    <xf numFmtId="167" fontId="3" fillId="17" borderId="12" xfId="0" applyNumberFormat="1" applyFont="1" applyFill="1" applyBorder="1"/>
    <xf numFmtId="167" fontId="3" fillId="17" borderId="11" xfId="0" applyNumberFormat="1" applyFont="1" applyFill="1" applyBorder="1"/>
    <xf numFmtId="0" fontId="3" fillId="17" borderId="58" xfId="0" applyFont="1" applyFill="1" applyBorder="1"/>
    <xf numFmtId="0" fontId="3" fillId="17" borderId="11" xfId="0" applyFont="1" applyFill="1" applyBorder="1"/>
    <xf numFmtId="167" fontId="0" fillId="21" borderId="59" xfId="0" applyNumberFormat="1" applyFill="1" applyBorder="1"/>
    <xf numFmtId="167" fontId="0" fillId="21" borderId="41" xfId="0" applyNumberFormat="1" applyFill="1" applyBorder="1"/>
    <xf numFmtId="167" fontId="0" fillId="21" borderId="61" xfId="0" applyNumberFormat="1" applyFill="1" applyBorder="1"/>
    <xf numFmtId="2" fontId="26" fillId="0" borderId="0" xfId="0" applyNumberFormat="1" applyFont="1" applyAlignment="1">
      <alignment vertical="center"/>
    </xf>
    <xf numFmtId="2" fontId="26" fillId="15" borderId="0" xfId="0" applyNumberFormat="1" applyFont="1" applyFill="1" applyBorder="1" applyAlignment="1">
      <alignment vertical="center"/>
    </xf>
    <xf numFmtId="2" fontId="27" fillId="15" borderId="0" xfId="0" applyNumberFormat="1" applyFont="1" applyFill="1" applyBorder="1" applyAlignment="1">
      <alignment vertical="center"/>
    </xf>
    <xf numFmtId="2" fontId="27" fillId="15" borderId="0" xfId="0" applyNumberFormat="1" applyFont="1" applyFill="1" applyBorder="1" applyAlignment="1">
      <alignment vertical="center" wrapText="1"/>
    </xf>
    <xf numFmtId="170" fontId="26" fillId="15" borderId="0" xfId="0" applyNumberFormat="1" applyFont="1" applyFill="1" applyBorder="1" applyAlignment="1">
      <alignment vertical="center"/>
    </xf>
    <xf numFmtId="167" fontId="0" fillId="15" borderId="0" xfId="0" applyNumberFormat="1" applyFont="1" applyFill="1"/>
    <xf numFmtId="0" fontId="26" fillId="15" borderId="0" xfId="0" applyFont="1" applyFill="1"/>
    <xf numFmtId="10" fontId="26" fillId="15" borderId="0" xfId="0" applyNumberFormat="1" applyFont="1" applyFill="1"/>
    <xf numFmtId="10" fontId="26" fillId="15" borderId="16" xfId="0" applyNumberFormat="1" applyFont="1" applyFill="1" applyBorder="1"/>
    <xf numFmtId="167" fontId="0" fillId="15" borderId="20" xfId="0" applyNumberFormat="1" applyFont="1" applyFill="1" applyBorder="1"/>
    <xf numFmtId="0" fontId="0" fillId="15" borderId="37" xfId="0" applyFont="1" applyFill="1" applyBorder="1" applyAlignment="1">
      <alignment vertical="center"/>
    </xf>
    <xf numFmtId="0" fontId="0" fillId="15" borderId="38" xfId="0" applyFont="1" applyFill="1" applyBorder="1" applyAlignment="1">
      <alignment vertical="center"/>
    </xf>
    <xf numFmtId="167" fontId="0" fillId="20" borderId="62" xfId="0" applyNumberFormat="1" applyFill="1" applyBorder="1"/>
    <xf numFmtId="167" fontId="0" fillId="20" borderId="47" xfId="0" applyNumberFormat="1" applyFill="1" applyBorder="1"/>
    <xf numFmtId="167" fontId="0" fillId="20" borderId="48" xfId="0" applyNumberFormat="1" applyFill="1" applyBorder="1"/>
    <xf numFmtId="167" fontId="3" fillId="17" borderId="44" xfId="0" applyNumberFormat="1" applyFont="1" applyFill="1" applyBorder="1"/>
    <xf numFmtId="10" fontId="32" fillId="0" borderId="0" xfId="3" applyNumberFormat="1" applyFont="1"/>
    <xf numFmtId="10" fontId="38" fillId="17" borderId="0" xfId="3" applyNumberFormat="1" applyFont="1" applyFill="1"/>
    <xf numFmtId="0" fontId="0" fillId="0" borderId="22" xfId="0" applyBorder="1" applyAlignment="1">
      <alignment horizontal="center"/>
    </xf>
    <xf numFmtId="10" fontId="0" fillId="15" borderId="0" xfId="3" applyNumberFormat="1" applyFont="1" applyFill="1"/>
    <xf numFmtId="10" fontId="28" fillId="14" borderId="0" xfId="3" applyNumberFormat="1" applyFont="1" applyFill="1"/>
    <xf numFmtId="10" fontId="32" fillId="15" borderId="0" xfId="3" applyNumberFormat="1" applyFont="1" applyFill="1"/>
    <xf numFmtId="0" fontId="0" fillId="14" borderId="2" xfId="0" applyFill="1" applyBorder="1" applyAlignment="1">
      <alignment horizontal="center"/>
    </xf>
    <xf numFmtId="169" fontId="0" fillId="0" borderId="0" xfId="0" applyNumberFormat="1" applyBorder="1"/>
    <xf numFmtId="169" fontId="0" fillId="0" borderId="0" xfId="0" applyNumberForma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9" fontId="0" fillId="0" borderId="3" xfId="0" applyNumberFormat="1" applyBorder="1"/>
    <xf numFmtId="169" fontId="0" fillId="15" borderId="0" xfId="0" applyNumberFormat="1" applyFill="1" applyBorder="1"/>
    <xf numFmtId="169" fontId="0" fillId="15" borderId="0" xfId="0" applyNumberFormat="1" applyFill="1" applyBorder="1" applyAlignment="1">
      <alignment horizontal="right"/>
    </xf>
    <xf numFmtId="169" fontId="0" fillId="15" borderId="3" xfId="0" applyNumberFormat="1" applyFill="1" applyBorder="1"/>
    <xf numFmtId="169" fontId="3" fillId="0" borderId="0" xfId="0" applyNumberFormat="1" applyFont="1" applyBorder="1"/>
    <xf numFmtId="169" fontId="3" fillId="0" borderId="0" xfId="0" applyNumberFormat="1" applyFont="1" applyBorder="1" applyAlignment="1">
      <alignment horizontal="right"/>
    </xf>
    <xf numFmtId="169" fontId="36" fillId="0" borderId="3" xfId="0" applyNumberFormat="1" applyFont="1" applyBorder="1"/>
    <xf numFmtId="10" fontId="31" fillId="22" borderId="22" xfId="3" applyNumberFormat="1" applyFont="1" applyFill="1" applyBorder="1" applyAlignment="1">
      <alignment horizontal="right"/>
    </xf>
    <xf numFmtId="10" fontId="31" fillId="22" borderId="2" xfId="3" applyNumberFormat="1" applyFont="1" applyFill="1" applyBorder="1" applyAlignment="1">
      <alignment horizontal="right"/>
    </xf>
    <xf numFmtId="10" fontId="31" fillId="22" borderId="4" xfId="3" applyNumberFormat="1" applyFont="1" applyFill="1" applyBorder="1" applyAlignment="1">
      <alignment horizontal="right"/>
    </xf>
    <xf numFmtId="10" fontId="35" fillId="15" borderId="0" xfId="3" applyNumberFormat="1" applyFont="1" applyFill="1" applyBorder="1" applyAlignment="1">
      <alignment horizontal="center"/>
    </xf>
    <xf numFmtId="10" fontId="35" fillId="15" borderId="3" xfId="3" applyNumberFormat="1" applyFont="1" applyFill="1" applyBorder="1" applyAlignment="1">
      <alignment horizontal="center"/>
    </xf>
    <xf numFmtId="169" fontId="34" fillId="18" borderId="5" xfId="0" applyNumberFormat="1" applyFont="1" applyFill="1" applyBorder="1" applyAlignment="1">
      <alignment horizontal="right"/>
    </xf>
    <xf numFmtId="169" fontId="31" fillId="22" borderId="15" xfId="0" applyNumberFormat="1" applyFont="1" applyFill="1" applyBorder="1"/>
    <xf numFmtId="169" fontId="34" fillId="14" borderId="4" xfId="0" applyNumberFormat="1" applyFont="1" applyFill="1" applyBorder="1" applyAlignment="1">
      <alignment horizontal="center"/>
    </xf>
    <xf numFmtId="10" fontId="5" fillId="15" borderId="4" xfId="3" applyNumberFormat="1" applyFont="1" applyFill="1" applyBorder="1" applyAlignment="1">
      <alignment horizontal="center"/>
    </xf>
    <xf numFmtId="10" fontId="5" fillId="15" borderId="5" xfId="3" applyNumberFormat="1" applyFont="1" applyFill="1" applyBorder="1" applyAlignment="1">
      <alignment horizontal="center"/>
    </xf>
    <xf numFmtId="10" fontId="5" fillId="15" borderId="15" xfId="3" applyNumberFormat="1" applyFont="1" applyFill="1" applyBorder="1" applyAlignment="1">
      <alignment horizontal="center"/>
    </xf>
    <xf numFmtId="169" fontId="31" fillId="22" borderId="61" xfId="0" applyNumberFormat="1" applyFont="1" applyFill="1" applyBorder="1" applyAlignment="1">
      <alignment horizontal="right"/>
    </xf>
    <xf numFmtId="169" fontId="0" fillId="0" borderId="14" xfId="0" applyNumberFormat="1" applyBorder="1" applyAlignment="1">
      <alignment horizontal="right"/>
    </xf>
    <xf numFmtId="169" fontId="0" fillId="0" borderId="3" xfId="0" applyNumberFormat="1" applyBorder="1" applyAlignment="1">
      <alignment horizontal="right"/>
    </xf>
    <xf numFmtId="169" fontId="0" fillId="15" borderId="3" xfId="0" applyNumberFormat="1" applyFill="1" applyBorder="1" applyAlignment="1">
      <alignment horizontal="right"/>
    </xf>
    <xf numFmtId="10" fontId="31" fillId="18" borderId="63" xfId="3" applyNumberFormat="1" applyFont="1" applyFill="1" applyBorder="1" applyAlignment="1">
      <alignment horizontal="center"/>
    </xf>
    <xf numFmtId="0" fontId="33" fillId="18" borderId="48" xfId="0" applyFont="1" applyFill="1" applyBorder="1" applyAlignment="1">
      <alignment horizontal="right"/>
    </xf>
    <xf numFmtId="169" fontId="0" fillId="0" borderId="8" xfId="0" applyNumberFormat="1" applyBorder="1" applyAlignment="1">
      <alignment horizontal="right"/>
    </xf>
    <xf numFmtId="10" fontId="31" fillId="18" borderId="30" xfId="3" applyNumberFormat="1" applyFont="1" applyFill="1" applyBorder="1" applyAlignment="1">
      <alignment horizontal="center"/>
    </xf>
    <xf numFmtId="169" fontId="34" fillId="18" borderId="33" xfId="0" applyNumberFormat="1" applyFont="1" applyFill="1" applyBorder="1" applyAlignment="1">
      <alignment horizontal="right"/>
    </xf>
    <xf numFmtId="169" fontId="31" fillId="22" borderId="26" xfId="0" applyNumberFormat="1" applyFont="1" applyFill="1" applyBorder="1"/>
    <xf numFmtId="10" fontId="0" fillId="0" borderId="2" xfId="3" applyNumberFormat="1" applyFont="1" applyBorder="1" applyAlignment="1">
      <alignment horizontal="center"/>
    </xf>
    <xf numFmtId="169" fontId="37" fillId="0" borderId="3" xfId="0" applyNumberFormat="1" applyFont="1" applyBorder="1"/>
    <xf numFmtId="0" fontId="28" fillId="0" borderId="10" xfId="0" applyFont="1" applyBorder="1" applyAlignment="1">
      <alignment horizontal="center"/>
    </xf>
    <xf numFmtId="10" fontId="0" fillId="0" borderId="10" xfId="3" applyNumberFormat="1" applyFont="1" applyBorder="1" applyAlignment="1">
      <alignment horizontal="center"/>
    </xf>
    <xf numFmtId="10" fontId="16" fillId="0" borderId="16" xfId="3" applyNumberFormat="1" applyFont="1" applyBorder="1" applyAlignment="1">
      <alignment horizontal="center"/>
    </xf>
    <xf numFmtId="169" fontId="0" fillId="0" borderId="13" xfId="0" applyNumberFormat="1" applyBorder="1"/>
    <xf numFmtId="0" fontId="0" fillId="0" borderId="16" xfId="0" applyBorder="1" applyAlignment="1">
      <alignment horizontal="right"/>
    </xf>
    <xf numFmtId="169" fontId="0" fillId="0" borderId="13" xfId="0" applyNumberFormat="1" applyBorder="1" applyAlignment="1">
      <alignment horizontal="right"/>
    </xf>
    <xf numFmtId="10" fontId="0" fillId="0" borderId="16" xfId="3" applyNumberFormat="1" applyFont="1" applyBorder="1" applyAlignment="1">
      <alignment horizontal="right"/>
    </xf>
    <xf numFmtId="10" fontId="16" fillId="0" borderId="16" xfId="3" applyNumberFormat="1" applyFont="1" applyBorder="1" applyAlignment="1">
      <alignment horizontal="right"/>
    </xf>
    <xf numFmtId="10" fontId="38" fillId="15" borderId="0" xfId="3" applyNumberFormat="1" applyFont="1" applyFill="1"/>
    <xf numFmtId="0" fontId="1" fillId="0" borderId="0" xfId="45"/>
    <xf numFmtId="4" fontId="1" fillId="0" borderId="0" xfId="45" applyNumberFormat="1"/>
    <xf numFmtId="0" fontId="1" fillId="0" borderId="0" xfId="45" applyAlignment="1">
      <alignment horizontal="right"/>
    </xf>
    <xf numFmtId="0" fontId="1" fillId="0" borderId="30" xfId="45" applyFont="1" applyBorder="1" applyAlignment="1">
      <alignment horizontal="right"/>
    </xf>
    <xf numFmtId="9" fontId="1" fillId="0" borderId="34" xfId="45" applyNumberFormat="1" applyFont="1" applyBorder="1" applyAlignment="1">
      <alignment horizontal="right"/>
    </xf>
    <xf numFmtId="0" fontId="1" fillId="0" borderId="35" xfId="45" applyFont="1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10" xfId="0" applyBorder="1" applyAlignment="1"/>
    <xf numFmtId="0" fontId="0" fillId="0" borderId="16" xfId="0" applyBorder="1" applyAlignment="1">
      <alignment horizontal="left"/>
    </xf>
    <xf numFmtId="0" fontId="0" fillId="0" borderId="59" xfId="0" applyBorder="1" applyAlignment="1">
      <alignment horizontal="right"/>
    </xf>
    <xf numFmtId="10" fontId="0" fillId="0" borderId="41" xfId="0" applyNumberFormat="1" applyBorder="1" applyAlignment="1">
      <alignment horizontal="right"/>
    </xf>
    <xf numFmtId="0" fontId="0" fillId="0" borderId="31" xfId="0" applyFill="1" applyBorder="1" applyAlignment="1">
      <alignment horizontal="right"/>
    </xf>
    <xf numFmtId="0" fontId="0" fillId="0" borderId="23" xfId="0" applyFill="1" applyBorder="1" applyAlignment="1">
      <alignment horizontal="right"/>
    </xf>
    <xf numFmtId="10" fontId="0" fillId="0" borderId="23" xfId="3" applyNumberFormat="1" applyFont="1" applyBorder="1"/>
    <xf numFmtId="10" fontId="0" fillId="0" borderId="73" xfId="3" applyNumberFormat="1" applyFont="1" applyBorder="1"/>
    <xf numFmtId="0" fontId="0" fillId="0" borderId="0" xfId="0" applyFill="1" applyBorder="1" applyAlignment="1">
      <alignment horizontal="right"/>
    </xf>
    <xf numFmtId="0" fontId="32" fillId="0" borderId="0" xfId="0" applyFont="1"/>
    <xf numFmtId="2" fontId="0" fillId="0" borderId="0" xfId="0" applyNumberFormat="1"/>
    <xf numFmtId="10" fontId="55" fillId="0" borderId="0" xfId="3" applyNumberFormat="1" applyFont="1"/>
    <xf numFmtId="2" fontId="0" fillId="17" borderId="0" xfId="0" applyNumberFormat="1" applyFill="1"/>
    <xf numFmtId="0" fontId="0" fillId="17" borderId="0" xfId="0" applyFill="1"/>
    <xf numFmtId="0" fontId="0" fillId="20" borderId="39" xfId="0" applyFill="1" applyBorder="1"/>
    <xf numFmtId="0" fontId="0" fillId="20" borderId="34" xfId="0" applyFill="1" applyBorder="1"/>
    <xf numFmtId="0" fontId="0" fillId="20" borderId="40" xfId="0" applyFill="1" applyBorder="1"/>
    <xf numFmtId="0" fontId="0" fillId="0" borderId="0" xfId="0" applyAlignment="1">
      <alignment horizontal="right" wrapText="1"/>
    </xf>
    <xf numFmtId="0" fontId="56" fillId="0" borderId="0" xfId="0" applyFont="1" applyAlignment="1">
      <alignment horizontal="left"/>
    </xf>
    <xf numFmtId="0" fontId="56" fillId="0" borderId="0" xfId="0" applyFont="1" applyAlignment="1">
      <alignment horizontal="right"/>
    </xf>
    <xf numFmtId="0" fontId="5" fillId="0" borderId="58" xfId="0" applyFont="1" applyBorder="1" applyAlignment="1">
      <alignment horizontal="right" wrapText="1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left" wrapText="1"/>
    </xf>
    <xf numFmtId="0" fontId="5" fillId="0" borderId="12" xfId="0" applyFont="1" applyBorder="1" applyAlignment="1">
      <alignment horizontal="right" wrapText="1"/>
    </xf>
    <xf numFmtId="6" fontId="0" fillId="0" borderId="0" xfId="0" applyNumberFormat="1"/>
    <xf numFmtId="1" fontId="0" fillId="0" borderId="0" xfId="0" applyNumberFormat="1"/>
    <xf numFmtId="0" fontId="16" fillId="0" borderId="0" xfId="0" applyFont="1" applyAlignment="1">
      <alignment horizontal="right"/>
    </xf>
    <xf numFmtId="169" fontId="0" fillId="22" borderId="38" xfId="0" applyNumberFormat="1" applyFill="1" applyBorder="1" applyAlignment="1">
      <alignment horizontal="right" wrapText="1"/>
    </xf>
    <xf numFmtId="0" fontId="0" fillId="0" borderId="38" xfId="0" applyBorder="1"/>
    <xf numFmtId="14" fontId="56" fillId="0" borderId="39" xfId="0" applyNumberFormat="1" applyFont="1" applyBorder="1" applyAlignment="1">
      <alignment horizontal="right"/>
    </xf>
    <xf numFmtId="0" fontId="56" fillId="0" borderId="37" xfId="0" applyFont="1" applyBorder="1" applyAlignment="1">
      <alignment horizontal="right"/>
    </xf>
    <xf numFmtId="0" fontId="56" fillId="0" borderId="60" xfId="0" applyFont="1" applyBorder="1" applyAlignment="1">
      <alignment horizontal="right"/>
    </xf>
    <xf numFmtId="14" fontId="56" fillId="0" borderId="34" xfId="0" applyNumberFormat="1" applyFont="1" applyBorder="1" applyAlignment="1">
      <alignment horizontal="right"/>
    </xf>
    <xf numFmtId="0" fontId="56" fillId="0" borderId="38" xfId="0" applyFont="1" applyBorder="1" applyAlignment="1">
      <alignment horizontal="right"/>
    </xf>
    <xf numFmtId="167" fontId="56" fillId="0" borderId="38" xfId="0" applyNumberFormat="1" applyFont="1" applyBorder="1" applyAlignment="1">
      <alignment horizontal="right"/>
    </xf>
    <xf numFmtId="167" fontId="56" fillId="0" borderId="42" xfId="0" applyNumberFormat="1" applyFont="1" applyBorder="1" applyAlignment="1">
      <alignment horizontal="right"/>
    </xf>
    <xf numFmtId="14" fontId="56" fillId="0" borderId="35" xfId="0" applyNumberFormat="1" applyFont="1" applyBorder="1" applyAlignment="1">
      <alignment horizontal="right"/>
    </xf>
    <xf numFmtId="0" fontId="56" fillId="0" borderId="74" xfId="0" applyFont="1" applyBorder="1" applyAlignment="1">
      <alignment horizontal="right"/>
    </xf>
    <xf numFmtId="167" fontId="56" fillId="0" borderId="74" xfId="0" applyNumberFormat="1" applyFont="1" applyBorder="1" applyAlignment="1">
      <alignment horizontal="right"/>
    </xf>
    <xf numFmtId="167" fontId="56" fillId="0" borderId="43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167" fontId="15" fillId="0" borderId="0" xfId="0" applyNumberFormat="1" applyFont="1" applyAlignment="1">
      <alignment horizontal="right"/>
    </xf>
    <xf numFmtId="169" fontId="32" fillId="0" borderId="38" xfId="0" applyNumberFormat="1" applyFont="1" applyBorder="1"/>
    <xf numFmtId="6" fontId="16" fillId="0" borderId="7" xfId="0" applyNumberFormat="1" applyFont="1" applyBorder="1" applyAlignment="1">
      <alignment horizontal="right" vertical="center"/>
    </xf>
    <xf numFmtId="167" fontId="16" fillId="0" borderId="75" xfId="0" applyNumberFormat="1" applyFont="1" applyBorder="1" applyAlignment="1">
      <alignment vertical="center"/>
    </xf>
    <xf numFmtId="167" fontId="16" fillId="8" borderId="22" xfId="0" applyNumberFormat="1" applyFont="1" applyFill="1" applyBorder="1" applyAlignment="1">
      <alignment vertical="center"/>
    </xf>
    <xf numFmtId="6" fontId="20" fillId="0" borderId="22" xfId="0" applyNumberFormat="1" applyFont="1" applyBorder="1" applyAlignment="1">
      <alignment vertical="center"/>
    </xf>
    <xf numFmtId="0" fontId="0" fillId="15" borderId="0" xfId="0" applyFont="1" applyFill="1" applyAlignment="1">
      <alignment vertical="center"/>
    </xf>
    <xf numFmtId="0" fontId="3" fillId="15" borderId="0" xfId="0" applyNumberFormat="1" applyFont="1" applyFill="1" applyAlignment="1">
      <alignment vertical="center" wrapText="1"/>
    </xf>
    <xf numFmtId="0" fontId="0" fillId="15" borderId="0" xfId="0" applyFont="1" applyFill="1" applyBorder="1" applyAlignment="1">
      <alignment vertical="center"/>
    </xf>
    <xf numFmtId="0" fontId="3" fillId="15" borderId="0" xfId="0" applyFont="1" applyFill="1" applyBorder="1" applyAlignment="1">
      <alignment vertical="center"/>
    </xf>
    <xf numFmtId="0" fontId="3" fillId="15" borderId="0" xfId="0" applyFont="1" applyFill="1" applyAlignment="1">
      <alignment vertical="center"/>
    </xf>
    <xf numFmtId="10" fontId="3" fillId="15" borderId="0" xfId="0" applyNumberFormat="1" applyFont="1" applyFill="1" applyAlignment="1">
      <alignment vertical="center"/>
    </xf>
    <xf numFmtId="0" fontId="0" fillId="15" borderId="10" xfId="0" applyFont="1" applyFill="1" applyBorder="1" applyAlignment="1">
      <alignment vertical="center"/>
    </xf>
    <xf numFmtId="0" fontId="0" fillId="15" borderId="16" xfId="0" applyFont="1" applyFill="1" applyBorder="1" applyAlignment="1">
      <alignment vertical="center"/>
    </xf>
    <xf numFmtId="0" fontId="0" fillId="15" borderId="13" xfId="0" applyFont="1" applyFill="1" applyBorder="1" applyAlignment="1">
      <alignment vertical="center"/>
    </xf>
    <xf numFmtId="0" fontId="0" fillId="15" borderId="2" xfId="0" applyFont="1" applyFill="1" applyBorder="1" applyAlignment="1">
      <alignment vertical="center"/>
    </xf>
    <xf numFmtId="10" fontId="0" fillId="15" borderId="2" xfId="0" applyNumberFormat="1" applyFont="1" applyFill="1" applyBorder="1" applyAlignment="1">
      <alignment vertical="center"/>
    </xf>
    <xf numFmtId="10" fontId="0" fillId="15" borderId="0" xfId="0" applyNumberFormat="1" applyFont="1" applyFill="1" applyBorder="1" applyAlignment="1">
      <alignment vertical="center"/>
    </xf>
    <xf numFmtId="10" fontId="0" fillId="15" borderId="3" xfId="0" applyNumberFormat="1" applyFont="1" applyFill="1" applyBorder="1" applyAlignment="1">
      <alignment vertical="center"/>
    </xf>
    <xf numFmtId="8" fontId="0" fillId="15" borderId="8" xfId="0" applyNumberFormat="1" applyFont="1" applyFill="1" applyBorder="1" applyAlignment="1">
      <alignment vertical="center"/>
    </xf>
    <xf numFmtId="8" fontId="0" fillId="15" borderId="2" xfId="0" applyNumberFormat="1" applyFont="1" applyFill="1" applyBorder="1" applyAlignment="1">
      <alignment vertical="center"/>
    </xf>
    <xf numFmtId="8" fontId="0" fillId="15" borderId="0" xfId="0" applyNumberFormat="1" applyFont="1" applyFill="1" applyBorder="1" applyAlignment="1">
      <alignment vertical="center"/>
    </xf>
    <xf numFmtId="8" fontId="0" fillId="15" borderId="3" xfId="0" applyNumberFormat="1" applyFont="1" applyFill="1" applyBorder="1" applyAlignment="1">
      <alignment vertical="center"/>
    </xf>
    <xf numFmtId="0" fontId="0" fillId="15" borderId="6" xfId="0" applyFont="1" applyFill="1" applyBorder="1" applyAlignment="1">
      <alignment vertical="center"/>
    </xf>
    <xf numFmtId="10" fontId="0" fillId="15" borderId="8" xfId="0" applyNumberFormat="1" applyFont="1" applyFill="1" applyBorder="1" applyAlignment="1">
      <alignment vertical="center"/>
    </xf>
    <xf numFmtId="0" fontId="0" fillId="15" borderId="7" xfId="0" applyFont="1" applyFill="1" applyBorder="1" applyAlignment="1">
      <alignment vertical="center"/>
    </xf>
    <xf numFmtId="10" fontId="0" fillId="15" borderId="0" xfId="3" applyNumberFormat="1" applyFont="1" applyFill="1" applyBorder="1" applyAlignment="1">
      <alignment vertical="center"/>
    </xf>
    <xf numFmtId="168" fontId="0" fillId="15" borderId="0" xfId="0" applyNumberFormat="1" applyFont="1" applyFill="1" applyBorder="1" applyAlignment="1">
      <alignment vertical="center"/>
    </xf>
    <xf numFmtId="10" fontId="16" fillId="15" borderId="0" xfId="3" applyNumberFormat="1" applyFont="1" applyFill="1" applyBorder="1" applyAlignment="1">
      <alignment vertical="center"/>
    </xf>
    <xf numFmtId="0" fontId="0" fillId="15" borderId="22" xfId="0" applyFont="1" applyFill="1" applyBorder="1" applyAlignment="1">
      <alignment vertical="center"/>
    </xf>
    <xf numFmtId="10" fontId="0" fillId="15" borderId="22" xfId="0" applyNumberFormat="1" applyFont="1" applyFill="1" applyBorder="1" applyAlignment="1">
      <alignment vertical="center"/>
    </xf>
    <xf numFmtId="10" fontId="0" fillId="15" borderId="14" xfId="0" applyNumberFormat="1" applyFont="1" applyFill="1" applyBorder="1" applyAlignment="1">
      <alignment vertical="center"/>
    </xf>
    <xf numFmtId="10" fontId="0" fillId="15" borderId="5" xfId="3" applyNumberFormat="1" applyFont="1" applyFill="1" applyBorder="1" applyAlignment="1">
      <alignment vertical="center"/>
    </xf>
    <xf numFmtId="10" fontId="0" fillId="15" borderId="3" xfId="3" applyNumberFormat="1" applyFont="1" applyFill="1" applyBorder="1" applyAlignment="1">
      <alignment vertical="center"/>
    </xf>
    <xf numFmtId="10" fontId="0" fillId="15" borderId="15" xfId="3" applyNumberFormat="1" applyFont="1" applyFill="1" applyBorder="1" applyAlignment="1">
      <alignment vertical="center"/>
    </xf>
    <xf numFmtId="1" fontId="0" fillId="15" borderId="0" xfId="3" applyNumberFormat="1" applyFont="1" applyFill="1" applyBorder="1" applyAlignment="1">
      <alignment vertical="center"/>
    </xf>
    <xf numFmtId="0" fontId="0" fillId="15" borderId="76" xfId="0" applyFont="1" applyFill="1" applyBorder="1" applyAlignment="1">
      <alignment vertical="center"/>
    </xf>
    <xf numFmtId="10" fontId="0" fillId="15" borderId="2" xfId="3" applyNumberFormat="1" applyFont="1" applyFill="1" applyBorder="1" applyAlignment="1">
      <alignment vertical="center"/>
    </xf>
    <xf numFmtId="10" fontId="0" fillId="15" borderId="4" xfId="3" applyNumberFormat="1" applyFont="1" applyFill="1" applyBorder="1" applyAlignment="1">
      <alignment vertical="center"/>
    </xf>
    <xf numFmtId="0" fontId="3" fillId="15" borderId="10" xfId="0" applyNumberFormat="1" applyFont="1" applyFill="1" applyBorder="1" applyAlignment="1">
      <alignment vertical="center" wrapText="1"/>
    </xf>
    <xf numFmtId="0" fontId="3" fillId="15" borderId="20" xfId="0" applyNumberFormat="1" applyFont="1" applyFill="1" applyBorder="1" applyAlignment="1">
      <alignment vertical="center" wrapText="1"/>
    </xf>
    <xf numFmtId="0" fontId="3" fillId="15" borderId="16" xfId="0" applyNumberFormat="1" applyFont="1" applyFill="1" applyBorder="1" applyAlignment="1">
      <alignment vertical="center" wrapText="1"/>
    </xf>
    <xf numFmtId="0" fontId="0" fillId="15" borderId="0" xfId="0" applyFont="1" applyFill="1" applyBorder="1" applyAlignment="1">
      <alignment horizontal="center" vertical="center"/>
    </xf>
    <xf numFmtId="172" fontId="0" fillId="15" borderId="14" xfId="0" applyNumberFormat="1" applyFont="1" applyFill="1" applyBorder="1" applyAlignment="1">
      <alignment vertical="center"/>
    </xf>
    <xf numFmtId="172" fontId="0" fillId="15" borderId="3" xfId="0" applyNumberFormat="1" applyFont="1" applyFill="1" applyBorder="1" applyAlignment="1">
      <alignment vertical="center"/>
    </xf>
    <xf numFmtId="172" fontId="0" fillId="15" borderId="15" xfId="0" applyNumberFormat="1" applyFont="1" applyFill="1" applyBorder="1" applyAlignment="1">
      <alignment vertical="center"/>
    </xf>
    <xf numFmtId="10" fontId="2" fillId="15" borderId="2" xfId="3" applyNumberFormat="1" applyFont="1" applyFill="1" applyBorder="1" applyAlignment="1">
      <alignment vertical="center"/>
    </xf>
    <xf numFmtId="10" fontId="2" fillId="15" borderId="7" xfId="3" applyNumberFormat="1" applyFont="1" applyFill="1" applyBorder="1" applyAlignment="1">
      <alignment vertical="center"/>
    </xf>
    <xf numFmtId="10" fontId="2" fillId="15" borderId="4" xfId="3" applyNumberFormat="1" applyFont="1" applyFill="1" applyBorder="1" applyAlignment="1">
      <alignment vertical="center"/>
    </xf>
    <xf numFmtId="10" fontId="2" fillId="15" borderId="6" xfId="3" applyNumberFormat="1" applyFont="1" applyFill="1" applyBorder="1" applyAlignment="1">
      <alignment vertical="center"/>
    </xf>
    <xf numFmtId="171" fontId="0" fillId="15" borderId="0" xfId="0" applyNumberFormat="1" applyFont="1" applyFill="1" applyBorder="1" applyAlignment="1">
      <alignment vertical="center"/>
    </xf>
    <xf numFmtId="0" fontId="3" fillId="15" borderId="4" xfId="0" applyNumberFormat="1" applyFont="1" applyFill="1" applyBorder="1" applyAlignment="1">
      <alignment vertical="center" wrapText="1"/>
    </xf>
    <xf numFmtId="0" fontId="3" fillId="15" borderId="20" xfId="0" applyNumberFormat="1" applyFont="1" applyFill="1" applyBorder="1" applyAlignment="1">
      <alignment horizontal="right" vertical="center" wrapText="1"/>
    </xf>
    <xf numFmtId="10" fontId="2" fillId="15" borderId="0" xfId="3" applyNumberFormat="1" applyFont="1" applyFill="1" applyBorder="1" applyAlignment="1">
      <alignment vertical="center"/>
    </xf>
    <xf numFmtId="10" fontId="3" fillId="0" borderId="20" xfId="0" applyNumberFormat="1" applyFont="1" applyFill="1" applyBorder="1" applyAlignment="1">
      <alignment horizontal="right" vertical="center" wrapText="1"/>
    </xf>
    <xf numFmtId="0" fontId="3" fillId="15" borderId="0" xfId="0" applyFont="1" applyFill="1" applyBorder="1" applyAlignment="1">
      <alignment horizontal="center" vertical="center"/>
    </xf>
    <xf numFmtId="171" fontId="3" fillId="0" borderId="0" xfId="0" applyNumberFormat="1" applyFont="1" applyFill="1" applyBorder="1" applyAlignment="1">
      <alignment vertical="center" wrapText="1"/>
    </xf>
    <xf numFmtId="49" fontId="0" fillId="15" borderId="0" xfId="0" applyNumberFormat="1" applyFont="1" applyFill="1" applyAlignment="1">
      <alignment vertical="center"/>
    </xf>
    <xf numFmtId="49" fontId="0" fillId="15" borderId="7" xfId="0" applyNumberFormat="1" applyFont="1" applyFill="1" applyBorder="1" applyAlignment="1">
      <alignment vertical="center"/>
    </xf>
    <xf numFmtId="49" fontId="3" fillId="15" borderId="7" xfId="0" applyNumberFormat="1" applyFont="1" applyFill="1" applyBorder="1" applyAlignment="1">
      <alignment vertical="center"/>
    </xf>
    <xf numFmtId="49" fontId="0" fillId="54" borderId="7" xfId="0" applyNumberFormat="1" applyFont="1" applyFill="1" applyBorder="1" applyAlignment="1">
      <alignment vertical="center"/>
    </xf>
    <xf numFmtId="10" fontId="2" fillId="54" borderId="2" xfId="3" applyNumberFormat="1" applyFont="1" applyFill="1" applyBorder="1" applyAlignment="1">
      <alignment vertical="center"/>
    </xf>
    <xf numFmtId="49" fontId="0" fillId="54" borderId="1" xfId="0" applyNumberFormat="1" applyFont="1" applyFill="1" applyBorder="1" applyAlignment="1">
      <alignment vertical="center"/>
    </xf>
    <xf numFmtId="0" fontId="0" fillId="54" borderId="4" xfId="0" applyFont="1" applyFill="1" applyBorder="1" applyAlignment="1">
      <alignment vertical="center"/>
    </xf>
    <xf numFmtId="0" fontId="0" fillId="54" borderId="1" xfId="0" applyFont="1" applyFill="1" applyBorder="1" applyAlignment="1">
      <alignment vertical="center"/>
    </xf>
    <xf numFmtId="10" fontId="2" fillId="54" borderId="4" xfId="3" applyNumberFormat="1" applyFont="1" applyFill="1" applyBorder="1" applyAlignment="1">
      <alignment vertical="center"/>
    </xf>
    <xf numFmtId="10" fontId="2" fillId="54" borderId="1" xfId="3" applyNumberFormat="1" applyFont="1" applyFill="1" applyBorder="1" applyAlignment="1">
      <alignment vertical="center"/>
    </xf>
    <xf numFmtId="10" fontId="3" fillId="54" borderId="7" xfId="3" applyNumberFormat="1" applyFont="1" applyFill="1" applyBorder="1" applyAlignment="1">
      <alignment vertical="center"/>
    </xf>
    <xf numFmtId="10" fontId="3" fillId="54" borderId="2" xfId="3" applyNumberFormat="1" applyFont="1" applyFill="1" applyBorder="1" applyAlignment="1">
      <alignment vertical="center"/>
    </xf>
    <xf numFmtId="10" fontId="0" fillId="17" borderId="0" xfId="3" applyNumberFormat="1" applyFont="1" applyFill="1"/>
    <xf numFmtId="0" fontId="16" fillId="0" borderId="0" xfId="0" applyFont="1" applyBorder="1" applyAlignment="1">
      <alignment horizontal="right"/>
    </xf>
    <xf numFmtId="3" fontId="56" fillId="0" borderId="0" xfId="0" applyNumberFormat="1" applyFont="1" applyBorder="1"/>
    <xf numFmtId="0" fontId="56" fillId="0" borderId="0" xfId="0" applyFont="1" applyBorder="1"/>
    <xf numFmtId="0" fontId="56" fillId="0" borderId="5" xfId="0" applyFont="1" applyBorder="1"/>
    <xf numFmtId="3" fontId="56" fillId="0" borderId="5" xfId="0" applyNumberFormat="1" applyFont="1" applyBorder="1"/>
    <xf numFmtId="0" fontId="59" fillId="55" borderId="0" xfId="0" applyFont="1" applyFill="1" applyAlignment="1">
      <alignment horizontal="left" vertical="center" indent="1"/>
    </xf>
    <xf numFmtId="0" fontId="5" fillId="55" borderId="0" xfId="0" applyFont="1" applyFill="1" applyAlignment="1">
      <alignment horizontal="left" vertical="center"/>
    </xf>
    <xf numFmtId="5" fontId="0" fillId="0" borderId="3" xfId="47" applyNumberFormat="1" applyFont="1" applyBorder="1"/>
    <xf numFmtId="0" fontId="0" fillId="0" borderId="8" xfId="0" applyBorder="1"/>
    <xf numFmtId="0" fontId="0" fillId="0" borderId="14" xfId="0" applyBorder="1"/>
    <xf numFmtId="0" fontId="0" fillId="0" borderId="22" xfId="0" applyBorder="1"/>
    <xf numFmtId="5" fontId="0" fillId="0" borderId="14" xfId="47" applyNumberFormat="1" applyFont="1" applyBorder="1"/>
    <xf numFmtId="5" fontId="0" fillId="0" borderId="8" xfId="47" applyNumberFormat="1" applyFont="1" applyBorder="1"/>
    <xf numFmtId="5" fontId="0" fillId="0" borderId="0" xfId="47" applyNumberFormat="1" applyFont="1" applyBorder="1"/>
    <xf numFmtId="167" fontId="0" fillId="0" borderId="0" xfId="0" applyNumberFormat="1" applyBorder="1"/>
    <xf numFmtId="5" fontId="60" fillId="0" borderId="8" xfId="47" applyNumberFormat="1" applyFont="1" applyBorder="1"/>
    <xf numFmtId="5" fontId="58" fillId="0" borderId="14" xfId="0" applyNumberFormat="1" applyFont="1" applyBorder="1"/>
    <xf numFmtId="9" fontId="63" fillId="22" borderId="22" xfId="0" applyNumberFormat="1" applyFont="1" applyFill="1" applyBorder="1"/>
    <xf numFmtId="5" fontId="31" fillId="56" borderId="8" xfId="47" applyNumberFormat="1" applyFont="1" applyFill="1" applyBorder="1"/>
    <xf numFmtId="0" fontId="61" fillId="56" borderId="8" xfId="0" applyFont="1" applyFill="1" applyBorder="1"/>
    <xf numFmtId="0" fontId="61" fillId="56" borderId="14" xfId="0" applyFont="1" applyFill="1" applyBorder="1"/>
    <xf numFmtId="5" fontId="61" fillId="56" borderId="5" xfId="47" applyNumberFormat="1" applyFont="1" applyFill="1" applyBorder="1"/>
    <xf numFmtId="0" fontId="61" fillId="56" borderId="5" xfId="0" applyFont="1" applyFill="1" applyBorder="1"/>
    <xf numFmtId="0" fontId="61" fillId="56" borderId="15" xfId="0" applyFont="1" applyFill="1" applyBorder="1"/>
    <xf numFmtId="5" fontId="61" fillId="56" borderId="8" xfId="47" applyNumberFormat="1" applyFont="1" applyFill="1" applyBorder="1"/>
    <xf numFmtId="10" fontId="62" fillId="19" borderId="8" xfId="0" applyNumberFormat="1" applyFont="1" applyFill="1" applyBorder="1"/>
    <xf numFmtId="167" fontId="61" fillId="15" borderId="2" xfId="47" applyNumberFormat="1" applyFont="1" applyFill="1" applyBorder="1"/>
    <xf numFmtId="0" fontId="0" fillId="0" borderId="10" xfId="0" applyBorder="1"/>
    <xf numFmtId="0" fontId="0" fillId="0" borderId="16" xfId="0" applyBorder="1"/>
    <xf numFmtId="0" fontId="0" fillId="0" borderId="13" xfId="0" applyBorder="1"/>
    <xf numFmtId="167" fontId="61" fillId="22" borderId="8" xfId="47" applyNumberFormat="1" applyFont="1" applyFill="1" applyBorder="1"/>
    <xf numFmtId="167" fontId="0" fillId="0" borderId="5" xfId="0" applyNumberFormat="1" applyBorder="1"/>
    <xf numFmtId="0" fontId="16" fillId="0" borderId="13" xfId="0" applyFont="1" applyBorder="1" applyAlignment="1">
      <alignment horizontal="right"/>
    </xf>
    <xf numFmtId="0" fontId="0" fillId="57" borderId="0" xfId="0" applyFill="1"/>
    <xf numFmtId="0" fontId="16" fillId="58" borderId="0" xfId="0" applyFont="1" applyFill="1" applyAlignment="1">
      <alignment horizontal="right"/>
    </xf>
    <xf numFmtId="0" fontId="0" fillId="58" borderId="0" xfId="0" applyFill="1"/>
    <xf numFmtId="0" fontId="16" fillId="15" borderId="0" xfId="0" applyFont="1" applyFill="1" applyAlignment="1">
      <alignment horizontal="right"/>
    </xf>
    <xf numFmtId="6" fontId="5" fillId="0" borderId="0" xfId="0" applyNumberFormat="1" applyFont="1" applyBorder="1"/>
    <xf numFmtId="167" fontId="0" fillId="8" borderId="8" xfId="0" applyNumberFormat="1" applyFill="1" applyBorder="1" applyAlignment="1">
      <alignment horizontal="right"/>
    </xf>
    <xf numFmtId="166" fontId="0" fillId="8" borderId="0" xfId="0" applyNumberFormat="1" applyFill="1" applyBorder="1" applyAlignment="1">
      <alignment horizontal="right"/>
    </xf>
    <xf numFmtId="0" fontId="0" fillId="8" borderId="0" xfId="0" applyFill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" fontId="28" fillId="0" borderId="0" xfId="0" applyNumberFormat="1" applyFont="1" applyAlignment="1">
      <alignment horizontal="right"/>
    </xf>
    <xf numFmtId="1" fontId="28" fillId="0" borderId="0" xfId="0" applyNumberFormat="1" applyFont="1"/>
    <xf numFmtId="167" fontId="0" fillId="8" borderId="8" xfId="0" applyNumberFormat="1" applyFill="1" applyBorder="1"/>
    <xf numFmtId="166" fontId="0" fillId="8" borderId="0" xfId="0" applyNumberFormat="1" applyFill="1" applyBorder="1"/>
    <xf numFmtId="10" fontId="0" fillId="8" borderId="0" xfId="3" applyNumberFormat="1" applyFont="1" applyFill="1" applyBorder="1" applyAlignment="1">
      <alignment horizontal="right"/>
    </xf>
    <xf numFmtId="10" fontId="0" fillId="8" borderId="0" xfId="0" applyNumberFormat="1" applyFill="1" applyBorder="1"/>
    <xf numFmtId="10" fontId="0" fillId="8" borderId="5" xfId="0" applyNumberFormat="1" applyFill="1" applyBorder="1"/>
    <xf numFmtId="0" fontId="0" fillId="7" borderId="7" xfId="0" applyFill="1" applyBorder="1" applyAlignment="1">
      <alignment horizontal="right"/>
    </xf>
    <xf numFmtId="0" fontId="0" fillId="7" borderId="22" xfId="0" applyFill="1" applyBorder="1"/>
    <xf numFmtId="167" fontId="0" fillId="0" borderId="8" xfId="0" applyNumberFormat="1" applyBorder="1"/>
    <xf numFmtId="8" fontId="0" fillId="0" borderId="8" xfId="0" applyNumberFormat="1" applyBorder="1"/>
    <xf numFmtId="169" fontId="0" fillId="0" borderId="6" xfId="0" applyNumberFormat="1" applyBorder="1"/>
    <xf numFmtId="0" fontId="0" fillId="7" borderId="2" xfId="0" applyFill="1" applyBorder="1"/>
    <xf numFmtId="167" fontId="0" fillId="0" borderId="3" xfId="0" applyNumberFormat="1" applyBorder="1"/>
    <xf numFmtId="8" fontId="0" fillId="0" borderId="0" xfId="0" applyNumberFormat="1" applyBorder="1"/>
    <xf numFmtId="169" fontId="0" fillId="0" borderId="7" xfId="0" applyNumberFormat="1" applyBorder="1"/>
    <xf numFmtId="0" fontId="0" fillId="7" borderId="4" xfId="0" applyFill="1" applyBorder="1"/>
    <xf numFmtId="0" fontId="11" fillId="0" borderId="0" xfId="0" applyFont="1" applyAlignment="1">
      <alignment horizontal="right"/>
    </xf>
    <xf numFmtId="165" fontId="0" fillId="8" borderId="0" xfId="0" applyNumberFormat="1" applyFill="1" applyBorder="1" applyAlignment="1">
      <alignment horizontal="right"/>
    </xf>
    <xf numFmtId="0" fontId="65" fillId="59" borderId="3" xfId="0" applyFont="1" applyFill="1" applyBorder="1" applyAlignment="1">
      <alignment vertical="center" wrapText="1"/>
    </xf>
    <xf numFmtId="8" fontId="0" fillId="8" borderId="5" xfId="0" applyNumberFormat="1" applyFill="1" applyBorder="1" applyAlignment="1"/>
    <xf numFmtId="173" fontId="3" fillId="59" borderId="7" xfId="0" applyNumberFormat="1" applyFont="1" applyFill="1" applyBorder="1"/>
    <xf numFmtId="175" fontId="3" fillId="59" borderId="14" xfId="0" applyNumberFormat="1" applyFont="1" applyFill="1" applyBorder="1"/>
    <xf numFmtId="175" fontId="3" fillId="59" borderId="3" xfId="0" applyNumberFormat="1" applyFont="1" applyFill="1" applyBorder="1"/>
    <xf numFmtId="10" fontId="0" fillId="62" borderId="14" xfId="0" applyNumberFormat="1" applyFill="1" applyBorder="1"/>
    <xf numFmtId="10" fontId="0" fillId="62" borderId="3" xfId="0" applyNumberFormat="1" applyFill="1" applyBorder="1" applyAlignment="1">
      <alignment horizontal="right"/>
    </xf>
    <xf numFmtId="10" fontId="0" fillId="62" borderId="3" xfId="0" applyNumberFormat="1" applyFill="1" applyBorder="1"/>
    <xf numFmtId="10" fontId="0" fillId="62" borderId="15" xfId="0" applyNumberFormat="1" applyFill="1" applyBorder="1"/>
    <xf numFmtId="10" fontId="0" fillId="15" borderId="8" xfId="0" applyNumberFormat="1" applyFill="1" applyBorder="1"/>
    <xf numFmtId="10" fontId="0" fillId="15" borderId="0" xfId="0" applyNumberFormat="1" applyFill="1" applyBorder="1"/>
    <xf numFmtId="174" fontId="0" fillId="15" borderId="7" xfId="0" applyNumberFormat="1" applyFill="1" applyBorder="1"/>
    <xf numFmtId="0" fontId="0" fillId="60" borderId="22" xfId="0" applyFont="1" applyFill="1" applyBorder="1"/>
    <xf numFmtId="167" fontId="0" fillId="60" borderId="22" xfId="0" applyNumberFormat="1" applyFont="1" applyFill="1" applyBorder="1" applyAlignment="1">
      <alignment horizontal="right"/>
    </xf>
    <xf numFmtId="167" fontId="0" fillId="60" borderId="8" xfId="0" applyNumberFormat="1" applyFont="1" applyFill="1" applyBorder="1"/>
    <xf numFmtId="167" fontId="0" fillId="60" borderId="8" xfId="0" applyNumberFormat="1" applyFont="1" applyFill="1" applyBorder="1" applyAlignment="1">
      <alignment horizontal="right"/>
    </xf>
    <xf numFmtId="6" fontId="0" fillId="60" borderId="8" xfId="0" applyNumberFormat="1" applyFont="1" applyFill="1" applyBorder="1" applyAlignment="1">
      <alignment horizontal="right"/>
    </xf>
    <xf numFmtId="167" fontId="0" fillId="60" borderId="0" xfId="0" applyNumberFormat="1" applyFont="1" applyFill="1" applyBorder="1" applyAlignment="1">
      <alignment horizontal="right"/>
    </xf>
    <xf numFmtId="173" fontId="0" fillId="60" borderId="8" xfId="0" applyNumberFormat="1" applyFont="1" applyFill="1" applyBorder="1"/>
    <xf numFmtId="174" fontId="0" fillId="60" borderId="8" xfId="0" applyNumberFormat="1" applyFont="1" applyFill="1" applyBorder="1"/>
    <xf numFmtId="175" fontId="0" fillId="60" borderId="14" xfId="0" applyNumberFormat="1" applyFont="1" applyFill="1" applyBorder="1"/>
    <xf numFmtId="0" fontId="0" fillId="60" borderId="2" xfId="0" applyFont="1" applyFill="1" applyBorder="1"/>
    <xf numFmtId="167" fontId="0" fillId="60" borderId="2" xfId="0" applyNumberFormat="1" applyFont="1" applyFill="1" applyBorder="1" applyAlignment="1">
      <alignment horizontal="right"/>
    </xf>
    <xf numFmtId="167" fontId="0" fillId="60" borderId="0" xfId="0" applyNumberFormat="1" applyFont="1" applyFill="1" applyBorder="1"/>
    <xf numFmtId="6" fontId="0" fillId="60" borderId="0" xfId="0" applyNumberFormat="1" applyFont="1" applyFill="1" applyBorder="1" applyAlignment="1">
      <alignment horizontal="right"/>
    </xf>
    <xf numFmtId="173" fontId="0" fillId="60" borderId="0" xfId="0" applyNumberFormat="1" applyFont="1" applyFill="1" applyBorder="1"/>
    <xf numFmtId="174" fontId="0" fillId="60" borderId="0" xfId="0" applyNumberFormat="1" applyFont="1" applyFill="1" applyBorder="1"/>
    <xf numFmtId="175" fontId="0" fillId="60" borderId="3" xfId="0" applyNumberFormat="1" applyFont="1" applyFill="1" applyBorder="1"/>
    <xf numFmtId="0" fontId="0" fillId="60" borderId="4" xfId="0" applyFont="1" applyFill="1" applyBorder="1"/>
    <xf numFmtId="167" fontId="0" fillId="60" borderId="4" xfId="0" applyNumberFormat="1" applyFont="1" applyFill="1" applyBorder="1" applyAlignment="1">
      <alignment horizontal="right"/>
    </xf>
    <xf numFmtId="167" fontId="0" fillId="60" borderId="5" xfId="0" applyNumberFormat="1" applyFont="1" applyFill="1" applyBorder="1"/>
    <xf numFmtId="167" fontId="0" fillId="60" borderId="5" xfId="0" applyNumberFormat="1" applyFont="1" applyFill="1" applyBorder="1" applyAlignment="1">
      <alignment horizontal="right"/>
    </xf>
    <xf numFmtId="6" fontId="0" fillId="60" borderId="5" xfId="0" applyNumberFormat="1" applyFont="1" applyFill="1" applyBorder="1" applyAlignment="1">
      <alignment horizontal="right"/>
    </xf>
    <xf numFmtId="173" fontId="0" fillId="60" borderId="5" xfId="0" applyNumberFormat="1" applyFont="1" applyFill="1" applyBorder="1"/>
    <xf numFmtId="174" fontId="0" fillId="60" borderId="5" xfId="0" applyNumberFormat="1" applyFont="1" applyFill="1" applyBorder="1"/>
    <xf numFmtId="175" fontId="0" fillId="60" borderId="15" xfId="0" applyNumberFormat="1" applyFont="1" applyFill="1" applyBorder="1"/>
    <xf numFmtId="0" fontId="0" fillId="59" borderId="13" xfId="0" applyFill="1" applyBorder="1" applyAlignment="1">
      <alignment horizontal="center"/>
    </xf>
    <xf numFmtId="0" fontId="0" fillId="0" borderId="4" xfId="0" applyBorder="1" applyAlignment="1">
      <alignment horizontal="right"/>
    </xf>
    <xf numFmtId="0" fontId="0" fillId="61" borderId="0" xfId="0" applyFill="1" applyBorder="1" applyAlignment="1">
      <alignment horizontal="right"/>
    </xf>
    <xf numFmtId="1" fontId="0" fillId="8" borderId="5" xfId="0" applyNumberFormat="1" applyFill="1" applyBorder="1" applyAlignment="1">
      <alignment horizontal="right"/>
    </xf>
    <xf numFmtId="6" fontId="0" fillId="0" borderId="77" xfId="0" applyNumberFormat="1" applyBorder="1" applyAlignment="1">
      <alignment horizontal="right"/>
    </xf>
    <xf numFmtId="6" fontId="0" fillId="0" borderId="29" xfId="0" applyNumberFormat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8" fontId="0" fillId="0" borderId="5" xfId="0" applyNumberFormat="1" applyBorder="1"/>
    <xf numFmtId="0" fontId="8" fillId="0" borderId="10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12" fillId="6" borderId="16" xfId="0" applyFont="1" applyFill="1" applyBorder="1" applyAlignment="1">
      <alignment horizontal="right"/>
    </xf>
    <xf numFmtId="0" fontId="12" fillId="0" borderId="16" xfId="0" applyFont="1" applyBorder="1" applyAlignment="1">
      <alignment horizontal="right"/>
    </xf>
    <xf numFmtId="167" fontId="3" fillId="59" borderId="14" xfId="0" applyNumberFormat="1" applyFont="1" applyFill="1" applyBorder="1" applyAlignment="1">
      <alignment horizontal="right"/>
    </xf>
    <xf numFmtId="167" fontId="3" fillId="59" borderId="3" xfId="0" applyNumberFormat="1" applyFont="1" applyFill="1" applyBorder="1" applyAlignment="1">
      <alignment horizontal="right"/>
    </xf>
    <xf numFmtId="0" fontId="0" fillId="15" borderId="0" xfId="0" applyFill="1" applyBorder="1" applyAlignment="1">
      <alignment horizontal="right"/>
    </xf>
    <xf numFmtId="10" fontId="0" fillId="60" borderId="0" xfId="0" applyNumberFormat="1" applyFont="1" applyFill="1" applyBorder="1"/>
    <xf numFmtId="169" fontId="0" fillId="0" borderId="8" xfId="0" applyNumberFormat="1" applyBorder="1"/>
    <xf numFmtId="10" fontId="0" fillId="60" borderId="8" xfId="0" applyNumberFormat="1" applyFont="1" applyFill="1" applyBorder="1"/>
    <xf numFmtId="169" fontId="0" fillId="0" borderId="5" xfId="0" applyNumberFormat="1" applyBorder="1"/>
    <xf numFmtId="10" fontId="0" fillId="60" borderId="5" xfId="0" applyNumberFormat="1" applyFont="1" applyFill="1" applyBorder="1"/>
    <xf numFmtId="9" fontId="0" fillId="62" borderId="0" xfId="0" applyNumberFormat="1" applyFill="1" applyBorder="1"/>
    <xf numFmtId="0" fontId="70" fillId="0" borderId="0" xfId="0" applyFont="1"/>
    <xf numFmtId="20" fontId="70" fillId="0" borderId="0" xfId="0" applyNumberFormat="1" applyFont="1"/>
    <xf numFmtId="169" fontId="3" fillId="0" borderId="7" xfId="0" applyNumberFormat="1" applyFont="1" applyBorder="1"/>
    <xf numFmtId="0" fontId="0" fillId="0" borderId="10" xfId="0" applyBorder="1" applyAlignment="1">
      <alignment horizontal="right"/>
    </xf>
    <xf numFmtId="1" fontId="0" fillId="8" borderId="4" xfId="0" applyNumberFormat="1" applyFill="1" applyBorder="1" applyAlignment="1">
      <alignment horizontal="right"/>
    </xf>
    <xf numFmtId="0" fontId="0" fillId="15" borderId="22" xfId="0" applyFill="1" applyBorder="1" applyAlignment="1">
      <alignment horizontal="right"/>
    </xf>
    <xf numFmtId="0" fontId="0" fillId="15" borderId="6" xfId="0" applyFill="1" applyBorder="1" applyAlignment="1">
      <alignment horizontal="center"/>
    </xf>
    <xf numFmtId="0" fontId="0" fillId="15" borderId="1" xfId="0" applyFill="1" applyBorder="1" applyAlignment="1">
      <alignment horizontal="right"/>
    </xf>
    <xf numFmtId="10" fontId="0" fillId="62" borderId="13" xfId="0" applyNumberFormat="1" applyFill="1" applyBorder="1"/>
    <xf numFmtId="10" fontId="0" fillId="8" borderId="13" xfId="0" applyNumberFormat="1" applyFill="1" applyBorder="1" applyAlignment="1">
      <alignment horizontal="right"/>
    </xf>
    <xf numFmtId="0" fontId="0" fillId="20" borderId="10" xfId="0" applyFill="1" applyBorder="1" applyAlignment="1"/>
    <xf numFmtId="0" fontId="0" fillId="20" borderId="16" xfId="0" applyFill="1" applyBorder="1" applyAlignment="1"/>
    <xf numFmtId="0" fontId="3" fillId="21" borderId="76" xfId="0" applyFont="1" applyFill="1" applyBorder="1" applyAlignment="1">
      <alignment horizontal="right" vertical="center"/>
    </xf>
    <xf numFmtId="0" fontId="3" fillId="21" borderId="0" xfId="0" applyFont="1" applyFill="1" applyBorder="1" applyAlignment="1">
      <alignment horizontal="right" vertical="center"/>
    </xf>
    <xf numFmtId="0" fontId="3" fillId="20" borderId="78" xfId="0" applyFont="1" applyFill="1" applyBorder="1" applyAlignment="1">
      <alignment horizontal="right"/>
    </xf>
    <xf numFmtId="0" fontId="3" fillId="20" borderId="79" xfId="0" applyFont="1" applyFill="1" applyBorder="1" applyAlignment="1">
      <alignment horizontal="right"/>
    </xf>
    <xf numFmtId="0" fontId="3" fillId="20" borderId="77" xfId="0" applyFont="1" applyFill="1" applyBorder="1" applyAlignment="1">
      <alignment horizontal="right"/>
    </xf>
    <xf numFmtId="10" fontId="0" fillId="14" borderId="80" xfId="3" applyNumberFormat="1" applyFont="1" applyFill="1" applyBorder="1"/>
    <xf numFmtId="10" fontId="0" fillId="14" borderId="79" xfId="3" applyNumberFormat="1" applyFont="1" applyFill="1" applyBorder="1"/>
    <xf numFmtId="0" fontId="0" fillId="14" borderId="38" xfId="0" applyFill="1" applyBorder="1" applyAlignment="1">
      <alignment horizontal="right"/>
    </xf>
    <xf numFmtId="164" fontId="0" fillId="14" borderId="38" xfId="0" applyNumberFormat="1" applyFill="1" applyBorder="1"/>
    <xf numFmtId="10" fontId="0" fillId="20" borderId="38" xfId="3" applyNumberFormat="1" applyFont="1" applyFill="1" applyBorder="1"/>
    <xf numFmtId="167" fontId="0" fillId="21" borderId="38" xfId="0" applyNumberFormat="1" applyFill="1" applyBorder="1"/>
    <xf numFmtId="171" fontId="0" fillId="14" borderId="38" xfId="3" applyNumberFormat="1" applyFont="1" applyFill="1" applyBorder="1"/>
    <xf numFmtId="0" fontId="0" fillId="14" borderId="38" xfId="0" applyFill="1" applyBorder="1"/>
    <xf numFmtId="0" fontId="4" fillId="20" borderId="38" xfId="0" applyFont="1" applyFill="1" applyBorder="1" applyAlignment="1">
      <alignment horizontal="left"/>
    </xf>
    <xf numFmtId="0" fontId="3" fillId="20" borderId="8" xfId="0" applyFont="1" applyFill="1" applyBorder="1" applyAlignment="1">
      <alignment vertical="center"/>
    </xf>
    <xf numFmtId="167" fontId="0" fillId="14" borderId="38" xfId="0" applyNumberFormat="1" applyFill="1" applyBorder="1"/>
    <xf numFmtId="0" fontId="3" fillId="20" borderId="38" xfId="0" applyFont="1" applyFill="1" applyBorder="1" applyAlignment="1"/>
    <xf numFmtId="0" fontId="0" fillId="20" borderId="47" xfId="0" applyFill="1" applyBorder="1"/>
    <xf numFmtId="0" fontId="0" fillId="15" borderId="0" xfId="0" applyFill="1" applyBorder="1"/>
    <xf numFmtId="164" fontId="0" fillId="15" borderId="0" xfId="0" applyNumberFormat="1" applyFill="1" applyBorder="1"/>
    <xf numFmtId="10" fontId="0" fillId="15" borderId="0" xfId="3" applyNumberFormat="1" applyFont="1" applyFill="1" applyBorder="1"/>
    <xf numFmtId="167" fontId="0" fillId="21" borderId="37" xfId="0" applyNumberFormat="1" applyFill="1" applyBorder="1"/>
    <xf numFmtId="10" fontId="0" fillId="17" borderId="11" xfId="3" applyNumberFormat="1" applyFont="1" applyFill="1" applyBorder="1"/>
    <xf numFmtId="10" fontId="0" fillId="14" borderId="77" xfId="3" applyNumberFormat="1" applyFont="1" applyFill="1" applyBorder="1"/>
    <xf numFmtId="167" fontId="0" fillId="20" borderId="23" xfId="0" applyNumberFormat="1" applyFill="1" applyBorder="1"/>
    <xf numFmtId="167" fontId="0" fillId="20" borderId="24" xfId="0" applyNumberFormat="1" applyFill="1" applyBorder="1"/>
    <xf numFmtId="167" fontId="0" fillId="20" borderId="75" xfId="0" applyNumberFormat="1" applyFill="1" applyBorder="1"/>
    <xf numFmtId="167" fontId="3" fillId="17" borderId="20" xfId="0" applyNumberFormat="1" applyFont="1" applyFill="1" applyBorder="1"/>
    <xf numFmtId="10" fontId="0" fillId="14" borderId="6" xfId="3" applyNumberFormat="1" applyFont="1" applyFill="1" applyBorder="1" applyAlignment="1"/>
    <xf numFmtId="17" fontId="3" fillId="14" borderId="29" xfId="0" applyNumberFormat="1" applyFont="1" applyFill="1" applyBorder="1" applyAlignment="1">
      <alignment horizontal="right" vertical="center"/>
    </xf>
    <xf numFmtId="1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0" fontId="0" fillId="22" borderId="0" xfId="0" applyNumberFormat="1" applyFill="1" applyAlignment="1">
      <alignment horizontal="right"/>
    </xf>
    <xf numFmtId="0" fontId="0" fillId="21" borderId="0" xfId="0" applyFill="1" applyAlignment="1">
      <alignment horizontal="right"/>
    </xf>
    <xf numFmtId="10" fontId="0" fillId="21" borderId="0" xfId="0" applyNumberFormat="1" applyFill="1" applyAlignment="1">
      <alignment horizontal="right"/>
    </xf>
    <xf numFmtId="2" fontId="0" fillId="21" borderId="0" xfId="0" applyNumberFormat="1" applyFill="1" applyAlignment="1">
      <alignment horizontal="right"/>
    </xf>
    <xf numFmtId="177" fontId="0" fillId="21" borderId="0" xfId="0" applyNumberFormat="1" applyFill="1" applyAlignment="1">
      <alignment horizontal="right"/>
    </xf>
    <xf numFmtId="167" fontId="0" fillId="15" borderId="0" xfId="3" applyNumberFormat="1" applyFont="1" applyFill="1"/>
    <xf numFmtId="10" fontId="0" fillId="15" borderId="0" xfId="0" applyNumberFormat="1" applyFont="1" applyFill="1" applyAlignment="1">
      <alignment vertical="center"/>
    </xf>
    <xf numFmtId="0" fontId="0" fillId="15" borderId="0" xfId="0" applyFont="1" applyFill="1" applyAlignment="1">
      <alignment horizontal="right" vertical="center"/>
    </xf>
    <xf numFmtId="2" fontId="26" fillId="0" borderId="0" xfId="0" applyNumberFormat="1" applyFont="1" applyAlignment="1">
      <alignment horizontal="right" vertical="center"/>
    </xf>
    <xf numFmtId="0" fontId="0" fillId="15" borderId="0" xfId="0" applyFont="1" applyFill="1" applyBorder="1" applyAlignment="1">
      <alignment vertical="center"/>
    </xf>
    <xf numFmtId="0" fontId="0" fillId="15" borderId="0" xfId="0" applyFill="1" applyAlignment="1">
      <alignment horizontal="left"/>
    </xf>
    <xf numFmtId="0" fontId="0" fillId="15" borderId="38" xfId="0" applyFill="1" applyBorder="1" applyAlignment="1">
      <alignment horizontal="right"/>
    </xf>
    <xf numFmtId="0" fontId="3" fillId="15" borderId="38" xfId="0" applyNumberFormat="1" applyFont="1" applyFill="1" applyBorder="1" applyAlignment="1">
      <alignment horizontal="right" vertical="center" wrapText="1"/>
    </xf>
    <xf numFmtId="0" fontId="0" fillId="15" borderId="38" xfId="0" applyFont="1" applyFill="1" applyBorder="1" applyAlignment="1">
      <alignment horizontal="right" vertical="center"/>
    </xf>
    <xf numFmtId="0" fontId="3" fillId="15" borderId="38" xfId="0" applyFont="1" applyFill="1" applyBorder="1" applyAlignment="1">
      <alignment horizontal="right" vertical="center"/>
    </xf>
    <xf numFmtId="0" fontId="3" fillId="15" borderId="38" xfId="0" applyNumberFormat="1" applyFont="1" applyFill="1" applyBorder="1" applyAlignment="1">
      <alignment horizontal="right" vertical="center"/>
    </xf>
    <xf numFmtId="0" fontId="3" fillId="63" borderId="38" xfId="0" applyFont="1" applyFill="1" applyBorder="1" applyAlignment="1">
      <alignment horizontal="right"/>
    </xf>
    <xf numFmtId="0" fontId="16" fillId="21" borderId="0" xfId="0" applyFont="1" applyFill="1" applyAlignment="1">
      <alignment horizontal="right"/>
    </xf>
    <xf numFmtId="6" fontId="0" fillId="21" borderId="0" xfId="0" applyNumberFormat="1" applyFill="1"/>
    <xf numFmtId="0" fontId="0" fillId="21" borderId="0" xfId="0" applyFill="1"/>
    <xf numFmtId="0" fontId="3" fillId="20" borderId="13" xfId="0" applyFont="1" applyFill="1" applyBorder="1" applyAlignment="1">
      <alignment vertical="center"/>
    </xf>
    <xf numFmtId="167" fontId="0" fillId="15" borderId="0" xfId="0" applyNumberFormat="1" applyFill="1" applyBorder="1"/>
    <xf numFmtId="0" fontId="3" fillId="20" borderId="0" xfId="0" applyNumberFormat="1" applyFont="1" applyFill="1" applyBorder="1" applyAlignment="1">
      <alignment horizontal="right"/>
    </xf>
    <xf numFmtId="0" fontId="0" fillId="20" borderId="17" xfId="0" applyFont="1" applyFill="1" applyBorder="1" applyAlignment="1"/>
    <xf numFmtId="167" fontId="0" fillId="20" borderId="38" xfId="0" applyNumberFormat="1" applyFont="1" applyFill="1" applyBorder="1" applyAlignment="1">
      <alignment vertical="center" wrapText="1"/>
    </xf>
    <xf numFmtId="167" fontId="0" fillId="20" borderId="47" xfId="0" applyNumberFormat="1" applyFont="1" applyFill="1" applyBorder="1"/>
    <xf numFmtId="0" fontId="0" fillId="14" borderId="47" xfId="0" applyFont="1" applyFill="1" applyBorder="1" applyAlignment="1">
      <alignment horizontal="right" vertical="center"/>
    </xf>
    <xf numFmtId="167" fontId="0" fillId="20" borderId="38" xfId="0" applyNumberFormat="1" applyFont="1" applyFill="1" applyBorder="1" applyAlignment="1">
      <alignment horizontal="right" vertical="center"/>
    </xf>
    <xf numFmtId="176" fontId="3" fillId="20" borderId="38" xfId="3" applyNumberFormat="1" applyFont="1" applyFill="1" applyBorder="1"/>
    <xf numFmtId="10" fontId="0" fillId="20" borderId="49" xfId="3" applyNumberFormat="1" applyFont="1" applyFill="1" applyBorder="1"/>
    <xf numFmtId="167" fontId="0" fillId="20" borderId="81" xfId="0" applyNumberFormat="1" applyFill="1" applyBorder="1"/>
    <xf numFmtId="10" fontId="3" fillId="17" borderId="11" xfId="3" applyNumberFormat="1" applyFont="1" applyFill="1" applyBorder="1"/>
    <xf numFmtId="167" fontId="0" fillId="21" borderId="49" xfId="0" applyNumberFormat="1" applyFill="1" applyBorder="1"/>
    <xf numFmtId="0" fontId="0" fillId="58" borderId="16" xfId="0" applyFill="1" applyBorder="1"/>
    <xf numFmtId="6" fontId="0" fillId="58" borderId="10" xfId="0" applyNumberFormat="1" applyFill="1" applyBorder="1"/>
    <xf numFmtId="5" fontId="0" fillId="58" borderId="13" xfId="47" applyNumberFormat="1" applyFont="1" applyFill="1" applyBorder="1"/>
    <xf numFmtId="5" fontId="0" fillId="0" borderId="13" xfId="47" applyNumberFormat="1" applyFont="1" applyBorder="1"/>
    <xf numFmtId="5" fontId="0" fillId="58" borderId="16" xfId="47" applyNumberFormat="1" applyFont="1" applyFill="1" applyBorder="1"/>
    <xf numFmtId="0" fontId="0" fillId="0" borderId="0" xfId="0" applyFont="1" applyAlignment="1">
      <alignment horizontal="center"/>
    </xf>
    <xf numFmtId="9" fontId="16" fillId="0" borderId="10" xfId="0" applyNumberFormat="1" applyFont="1" applyBorder="1" applyAlignment="1">
      <alignment horizontal="right"/>
    </xf>
    <xf numFmtId="10" fontId="16" fillId="0" borderId="16" xfId="0" applyNumberFormat="1" applyFont="1" applyBorder="1" applyAlignment="1">
      <alignment horizontal="right"/>
    </xf>
    <xf numFmtId="10" fontId="16" fillId="0" borderId="13" xfId="0" applyNumberFormat="1" applyFont="1" applyBorder="1" applyAlignment="1">
      <alignment horizontal="right"/>
    </xf>
    <xf numFmtId="6" fontId="62" fillId="21" borderId="0" xfId="0" applyNumberFormat="1" applyFont="1" applyFill="1" applyBorder="1"/>
    <xf numFmtId="6" fontId="5" fillId="21" borderId="0" xfId="0" applyNumberFormat="1" applyFont="1" applyFill="1" applyBorder="1"/>
    <xf numFmtId="6" fontId="35" fillId="21" borderId="0" xfId="0" applyNumberFormat="1" applyFont="1" applyFill="1" applyBorder="1"/>
    <xf numFmtId="6" fontId="3" fillId="0" borderId="0" xfId="0" applyNumberFormat="1" applyFont="1" applyBorder="1"/>
    <xf numFmtId="6" fontId="3" fillId="0" borderId="0" xfId="0" applyNumberFormat="1" applyFont="1"/>
    <xf numFmtId="0" fontId="8" fillId="0" borderId="0" xfId="0" applyFont="1" applyAlignment="1">
      <alignment horizontal="right"/>
    </xf>
    <xf numFmtId="9" fontId="8" fillId="0" borderId="0" xfId="0" applyNumberFormat="1" applyFont="1" applyAlignment="1">
      <alignment horizontal="right"/>
    </xf>
    <xf numFmtId="178" fontId="8" fillId="0" borderId="0" xfId="0" applyNumberFormat="1" applyFont="1" applyAlignment="1">
      <alignment horizontal="right"/>
    </xf>
    <xf numFmtId="0" fontId="72" fillId="0" borderId="0" xfId="0" applyFont="1" applyAlignment="1">
      <alignment horizontal="right" vertical="center"/>
    </xf>
    <xf numFmtId="6" fontId="72" fillId="0" borderId="0" xfId="0" applyNumberFormat="1" applyFont="1" applyAlignment="1">
      <alignment horizontal="right" vertical="center"/>
    </xf>
    <xf numFmtId="6" fontId="8" fillId="0" borderId="0" xfId="0" applyNumberFormat="1" applyFont="1" applyAlignment="1">
      <alignment horizontal="right"/>
    </xf>
    <xf numFmtId="0" fontId="71" fillId="64" borderId="82" xfId="0" applyFont="1" applyFill="1" applyBorder="1" applyAlignment="1">
      <alignment horizontal="left" vertical="center" wrapText="1" indent="1"/>
    </xf>
    <xf numFmtId="6" fontId="71" fillId="64" borderId="82" xfId="0" applyNumberFormat="1" applyFont="1" applyFill="1" applyBorder="1" applyAlignment="1">
      <alignment horizontal="left" vertical="center" wrapText="1" indent="1"/>
    </xf>
    <xf numFmtId="0" fontId="71" fillId="55" borderId="82" xfId="0" applyFont="1" applyFill="1" applyBorder="1" applyAlignment="1">
      <alignment horizontal="left" vertical="center" wrapText="1" indent="1"/>
    </xf>
    <xf numFmtId="6" fontId="71" fillId="55" borderId="82" xfId="0" applyNumberFormat="1" applyFont="1" applyFill="1" applyBorder="1" applyAlignment="1">
      <alignment horizontal="left" vertical="center" wrapText="1" indent="1"/>
    </xf>
    <xf numFmtId="165" fontId="0" fillId="21" borderId="38" xfId="3" applyNumberFormat="1" applyFont="1" applyFill="1" applyBorder="1"/>
    <xf numFmtId="165" fontId="0" fillId="21" borderId="49" xfId="3" applyNumberFormat="1" applyFont="1" applyFill="1" applyBorder="1"/>
    <xf numFmtId="165" fontId="3" fillId="17" borderId="11" xfId="3" applyNumberFormat="1" applyFont="1" applyFill="1" applyBorder="1"/>
    <xf numFmtId="165" fontId="0" fillId="21" borderId="37" xfId="3" applyNumberFormat="1" applyFont="1" applyFill="1" applyBorder="1"/>
    <xf numFmtId="6" fontId="0" fillId="0" borderId="13" xfId="0" applyNumberFormat="1" applyBorder="1"/>
    <xf numFmtId="10" fontId="61" fillId="15" borderId="10" xfId="3" applyNumberFormat="1" applyFont="1" applyFill="1" applyBorder="1"/>
    <xf numFmtId="10" fontId="61" fillId="15" borderId="2" xfId="3" applyNumberFormat="1" applyFont="1" applyFill="1" applyBorder="1"/>
    <xf numFmtId="0" fontId="71" fillId="64" borderId="82" xfId="0" applyFont="1" applyFill="1" applyBorder="1" applyAlignment="1">
      <alignment horizontal="right" vertical="center" wrapText="1" indent="1"/>
    </xf>
    <xf numFmtId="6" fontId="71" fillId="64" borderId="82" xfId="0" applyNumberFormat="1" applyFont="1" applyFill="1" applyBorder="1" applyAlignment="1">
      <alignment horizontal="right" vertical="center" wrapText="1" indent="1"/>
    </xf>
    <xf numFmtId="0" fontId="71" fillId="55" borderId="82" xfId="0" applyFont="1" applyFill="1" applyBorder="1" applyAlignment="1">
      <alignment horizontal="right" vertical="center" wrapText="1" indent="1"/>
    </xf>
    <xf numFmtId="6" fontId="71" fillId="55" borderId="82" xfId="0" applyNumberFormat="1" applyFont="1" applyFill="1" applyBorder="1" applyAlignment="1">
      <alignment horizontal="right" vertical="center" wrapText="1" indent="1"/>
    </xf>
    <xf numFmtId="0" fontId="3" fillId="55" borderId="16" xfId="0" applyFont="1" applyFill="1" applyBorder="1" applyAlignment="1">
      <alignment horizontal="center" vertical="center"/>
    </xf>
    <xf numFmtId="9" fontId="3" fillId="55" borderId="16" xfId="0" applyNumberFormat="1" applyFont="1" applyFill="1" applyBorder="1" applyAlignment="1">
      <alignment horizontal="center" vertical="center"/>
    </xf>
    <xf numFmtId="0" fontId="3" fillId="55" borderId="13" xfId="0" applyFont="1" applyFill="1" applyBorder="1" applyAlignment="1">
      <alignment horizontal="center" vertical="center"/>
    </xf>
    <xf numFmtId="6" fontId="0" fillId="0" borderId="0" xfId="0" applyNumberFormat="1" applyFont="1" applyAlignment="1">
      <alignment horizontal="center"/>
    </xf>
    <xf numFmtId="0" fontId="38" fillId="55" borderId="82" xfId="0" applyFont="1" applyFill="1" applyBorder="1" applyAlignment="1">
      <alignment horizontal="left" vertical="center" wrapText="1" indent="1"/>
    </xf>
    <xf numFmtId="0" fontId="38" fillId="64" borderId="82" xfId="0" applyFont="1" applyFill="1" applyBorder="1" applyAlignment="1">
      <alignment horizontal="left" vertical="center" wrapText="1" indent="1"/>
    </xf>
    <xf numFmtId="167" fontId="32" fillId="0" borderId="0" xfId="47" applyNumberFormat="1" applyFont="1" applyFill="1" applyBorder="1"/>
    <xf numFmtId="167" fontId="32" fillId="0" borderId="8" xfId="47" applyNumberFormat="1" applyFont="1" applyFill="1" applyBorder="1"/>
    <xf numFmtId="6" fontId="32" fillId="0" borderId="22" xfId="0" applyNumberFormat="1" applyFont="1" applyFill="1" applyBorder="1"/>
    <xf numFmtId="0" fontId="0" fillId="0" borderId="46" xfId="0" applyBorder="1"/>
    <xf numFmtId="0" fontId="3" fillId="0" borderId="74" xfId="0" applyFont="1" applyBorder="1" applyAlignment="1">
      <alignment horizontal="center"/>
    </xf>
    <xf numFmtId="0" fontId="71" fillId="64" borderId="83" xfId="0" applyFont="1" applyFill="1" applyBorder="1" applyAlignment="1">
      <alignment horizontal="left" vertical="center" wrapText="1" indent="1"/>
    </xf>
    <xf numFmtId="0" fontId="71" fillId="55" borderId="83" xfId="0" applyFont="1" applyFill="1" applyBorder="1" applyAlignment="1">
      <alignment horizontal="left" vertical="center" wrapText="1" indent="1"/>
    </xf>
    <xf numFmtId="0" fontId="71" fillId="64" borderId="37" xfId="0" applyFont="1" applyFill="1" applyBorder="1" applyAlignment="1">
      <alignment horizontal="left" vertical="center" wrapText="1" indent="1"/>
    </xf>
    <xf numFmtId="6" fontId="73" fillId="0" borderId="22" xfId="0" applyNumberFormat="1" applyFont="1" applyFill="1" applyBorder="1"/>
    <xf numFmtId="0" fontId="0" fillId="0" borderId="10" xfId="0" applyFill="1" applyBorder="1"/>
    <xf numFmtId="0" fontId="0" fillId="0" borderId="16" xfId="0" applyFill="1" applyBorder="1"/>
    <xf numFmtId="5" fontId="0" fillId="0" borderId="14" xfId="47" applyNumberFormat="1" applyFont="1" applyFill="1" applyBorder="1"/>
    <xf numFmtId="5" fontId="3" fillId="0" borderId="25" xfId="47" applyNumberFormat="1" applyFont="1" applyBorder="1"/>
    <xf numFmtId="5" fontId="3" fillId="0" borderId="14" xfId="47" applyNumberFormat="1" applyFont="1" applyBorder="1"/>
    <xf numFmtId="10" fontId="0" fillId="14" borderId="81" xfId="3" applyNumberFormat="1" applyFont="1" applyFill="1" applyBorder="1"/>
    <xf numFmtId="0" fontId="3" fillId="20" borderId="38" xfId="0" applyFont="1" applyFill="1" applyBorder="1" applyAlignment="1">
      <alignment vertical="center"/>
    </xf>
    <xf numFmtId="10" fontId="74" fillId="21" borderId="7" xfId="3" applyNumberFormat="1" applyFont="1" applyFill="1" applyBorder="1" applyAlignment="1">
      <alignment horizontal="right"/>
    </xf>
    <xf numFmtId="1" fontId="73" fillId="14" borderId="38" xfId="3" applyNumberFormat="1" applyFont="1" applyFill="1" applyBorder="1" applyAlignment="1">
      <alignment horizontal="right"/>
    </xf>
    <xf numFmtId="9" fontId="26" fillId="0" borderId="0" xfId="0" applyNumberFormat="1" applyFont="1" applyAlignment="1">
      <alignment vertical="center"/>
    </xf>
    <xf numFmtId="10" fontId="0" fillId="17" borderId="38" xfId="3" applyNumberFormat="1" applyFont="1" applyFill="1" applyBorder="1"/>
    <xf numFmtId="167" fontId="0" fillId="17" borderId="38" xfId="0" applyNumberFormat="1" applyFill="1" applyBorder="1"/>
    <xf numFmtId="165" fontId="3" fillId="17" borderId="38" xfId="3" applyNumberFormat="1" applyFont="1" applyFill="1" applyBorder="1"/>
    <xf numFmtId="171" fontId="0" fillId="14" borderId="49" xfId="3" applyNumberFormat="1" applyFont="1" applyFill="1" applyBorder="1"/>
    <xf numFmtId="0" fontId="0" fillId="16" borderId="10" xfId="0" applyFill="1" applyBorder="1"/>
    <xf numFmtId="0" fontId="0" fillId="16" borderId="16" xfId="0" applyFill="1" applyBorder="1"/>
    <xf numFmtId="164" fontId="0" fillId="16" borderId="16" xfId="0" applyNumberFormat="1" applyFill="1" applyBorder="1"/>
    <xf numFmtId="167" fontId="0" fillId="16" borderId="16" xfId="0" applyNumberFormat="1" applyFill="1" applyBorder="1"/>
    <xf numFmtId="0" fontId="0" fillId="16" borderId="11" xfId="0" applyFill="1" applyBorder="1"/>
    <xf numFmtId="10" fontId="0" fillId="16" borderId="16" xfId="3" applyNumberFormat="1" applyFont="1" applyFill="1" applyBorder="1"/>
    <xf numFmtId="10" fontId="0" fillId="16" borderId="13" xfId="3" applyNumberFormat="1" applyFont="1" applyFill="1" applyBorder="1"/>
    <xf numFmtId="10" fontId="26" fillId="2" borderId="0" xfId="0" applyNumberFormat="1" applyFont="1" applyFill="1" applyAlignment="1">
      <alignment horizontal="left" vertical="center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0" fontId="32" fillId="0" borderId="0" xfId="3" applyNumberFormat="1" applyFont="1" applyFill="1"/>
    <xf numFmtId="10" fontId="38" fillId="0" borderId="0" xfId="3" applyNumberFormat="1" applyFont="1" applyFill="1"/>
    <xf numFmtId="10" fontId="32" fillId="0" borderId="0" xfId="3" applyNumberFormat="1" applyFont="1" applyFill="1" applyBorder="1"/>
    <xf numFmtId="0" fontId="0" fillId="0" borderId="0" xfId="0" applyFill="1" applyBorder="1"/>
    <xf numFmtId="10" fontId="0" fillId="0" borderId="0" xfId="3" applyNumberFormat="1" applyFont="1" applyFill="1" applyBorder="1"/>
    <xf numFmtId="10" fontId="0" fillId="0" borderId="0" xfId="3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9" fontId="0" fillId="0" borderId="0" xfId="0" applyNumberFormat="1" applyAlignment="1">
      <alignment horizontal="center"/>
    </xf>
    <xf numFmtId="10" fontId="75" fillId="15" borderId="0" xfId="3" applyNumberFormat="1" applyFon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0" fontId="0" fillId="0" borderId="0" xfId="3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3" applyNumberFormat="1" applyFont="1" applyBorder="1" applyAlignment="1">
      <alignment horizontal="center"/>
    </xf>
    <xf numFmtId="10" fontId="0" fillId="0" borderId="3" xfId="0" applyNumberFormat="1" applyFill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3" applyNumberFormat="1" applyFont="1" applyFill="1" applyBorder="1" applyAlignment="1">
      <alignment horizontal="center"/>
    </xf>
    <xf numFmtId="0" fontId="0" fillId="0" borderId="5" xfId="3" applyNumberFormat="1" applyFont="1" applyBorder="1" applyAlignment="1">
      <alignment horizontal="center"/>
    </xf>
    <xf numFmtId="10" fontId="0" fillId="0" borderId="15" xfId="3" applyNumberFormat="1" applyFont="1" applyFill="1" applyBorder="1" applyAlignment="1">
      <alignment horizontal="center"/>
    </xf>
    <xf numFmtId="10" fontId="75" fillId="15" borderId="15" xfId="3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0" fontId="75" fillId="15" borderId="13" xfId="3" applyNumberFormat="1" applyFont="1" applyFill="1" applyBorder="1" applyAlignment="1">
      <alignment horizontal="center"/>
    </xf>
    <xf numFmtId="10" fontId="0" fillId="0" borderId="3" xfId="3" applyNumberFormat="1" applyFont="1" applyFill="1" applyBorder="1" applyAlignment="1">
      <alignment horizontal="center"/>
    </xf>
    <xf numFmtId="0" fontId="16" fillId="0" borderId="20" xfId="0" applyFont="1" applyFill="1" applyBorder="1" applyAlignment="1">
      <alignment vertical="center"/>
    </xf>
    <xf numFmtId="10" fontId="38" fillId="0" borderId="0" xfId="3" applyNumberFormat="1" applyFont="1" applyFill="1" applyBorder="1"/>
    <xf numFmtId="0" fontId="0" fillId="22" borderId="13" xfId="0" applyFill="1" applyBorder="1" applyAlignment="1">
      <alignment horizontal="center"/>
    </xf>
    <xf numFmtId="10" fontId="75" fillId="16" borderId="20" xfId="3" applyNumberFormat="1" applyFont="1" applyFill="1" applyBorder="1" applyAlignment="1">
      <alignment horizontal="center"/>
    </xf>
    <xf numFmtId="10" fontId="0" fillId="0" borderId="7" xfId="0" applyNumberFormat="1" applyFill="1" applyBorder="1" applyAlignment="1">
      <alignment horizontal="center"/>
    </xf>
    <xf numFmtId="10" fontId="0" fillId="0" borderId="1" xfId="3" applyNumberFormat="1" applyFont="1" applyFill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10" fontId="16" fillId="22" borderId="20" xfId="3" applyNumberFormat="1" applyFont="1" applyFill="1" applyBorder="1" applyAlignment="1">
      <alignment horizontal="center"/>
    </xf>
    <xf numFmtId="169" fontId="16" fillId="22" borderId="13" xfId="0" applyNumberFormat="1" applyFont="1" applyFill="1" applyBorder="1" applyAlignment="1">
      <alignment horizontal="center"/>
    </xf>
    <xf numFmtId="10" fontId="15" fillId="0" borderId="7" xfId="0" applyNumberFormat="1" applyFont="1" applyFill="1" applyBorder="1" applyAlignment="1">
      <alignment horizontal="center"/>
    </xf>
    <xf numFmtId="10" fontId="15" fillId="0" borderId="3" xfId="0" applyNumberFormat="1" applyFont="1" applyBorder="1" applyAlignment="1">
      <alignment horizontal="center"/>
    </xf>
    <xf numFmtId="10" fontId="15" fillId="0" borderId="1" xfId="0" applyNumberFormat="1" applyFont="1" applyFill="1" applyBorder="1" applyAlignment="1">
      <alignment horizontal="center"/>
    </xf>
    <xf numFmtId="10" fontId="15" fillId="0" borderId="15" xfId="0" applyNumberFormat="1" applyFont="1" applyBorder="1" applyAlignment="1">
      <alignment horizontal="center"/>
    </xf>
    <xf numFmtId="0" fontId="26" fillId="15" borderId="0" xfId="0" applyNumberFormat="1" applyFont="1" applyFill="1"/>
    <xf numFmtId="0" fontId="3" fillId="15" borderId="0" xfId="0" applyFont="1" applyFill="1" applyAlignment="1">
      <alignment horizontal="right" vertical="center"/>
    </xf>
    <xf numFmtId="10" fontId="3" fillId="15" borderId="0" xfId="0" applyNumberFormat="1" applyFont="1" applyFill="1" applyAlignment="1">
      <alignment horizontal="right" vertical="center"/>
    </xf>
    <xf numFmtId="167" fontId="26" fillId="15" borderId="41" xfId="0" applyNumberFormat="1" applyFont="1" applyFill="1" applyBorder="1"/>
    <xf numFmtId="6" fontId="26" fillId="15" borderId="31" xfId="0" applyNumberFormat="1" applyFont="1" applyFill="1" applyBorder="1" applyAlignment="1">
      <alignment horizontal="right" vertical="center"/>
    </xf>
    <xf numFmtId="6" fontId="26" fillId="15" borderId="23" xfId="0" applyNumberFormat="1" applyFont="1" applyFill="1" applyBorder="1" applyAlignment="1">
      <alignment horizontal="right" vertical="center"/>
    </xf>
    <xf numFmtId="6" fontId="26" fillId="15" borderId="73" xfId="0" applyNumberFormat="1" applyFont="1" applyFill="1" applyBorder="1" applyAlignment="1">
      <alignment horizontal="right" vertical="center"/>
    </xf>
    <xf numFmtId="0" fontId="26" fillId="15" borderId="37" xfId="0" applyFont="1" applyFill="1" applyBorder="1" applyAlignment="1">
      <alignment vertical="center"/>
    </xf>
    <xf numFmtId="10" fontId="26" fillId="15" borderId="37" xfId="0" applyNumberFormat="1" applyFont="1" applyFill="1" applyBorder="1" applyAlignment="1">
      <alignment vertical="center"/>
    </xf>
    <xf numFmtId="167" fontId="26" fillId="15" borderId="37" xfId="0" applyNumberFormat="1" applyFont="1" applyFill="1" applyBorder="1" applyAlignment="1">
      <alignment vertical="center"/>
    </xf>
    <xf numFmtId="167" fontId="26" fillId="15" borderId="59" xfId="0" applyNumberFormat="1" applyFont="1" applyFill="1" applyBorder="1" applyAlignment="1">
      <alignment vertical="center"/>
    </xf>
    <xf numFmtId="0" fontId="26" fillId="15" borderId="38" xfId="0" applyFont="1" applyFill="1" applyBorder="1" applyAlignment="1">
      <alignment vertical="center"/>
    </xf>
    <xf numFmtId="167" fontId="26" fillId="15" borderId="41" xfId="0" applyNumberFormat="1" applyFont="1" applyFill="1" applyBorder="1" applyAlignment="1">
      <alignment vertical="center"/>
    </xf>
    <xf numFmtId="0" fontId="27" fillId="15" borderId="38" xfId="0" applyFont="1" applyFill="1" applyBorder="1" applyAlignment="1">
      <alignment vertical="center"/>
    </xf>
    <xf numFmtId="167" fontId="16" fillId="15" borderId="2" xfId="0" applyNumberFormat="1" applyFont="1" applyFill="1" applyBorder="1" applyAlignment="1">
      <alignment vertical="center"/>
    </xf>
    <xf numFmtId="6" fontId="20" fillId="0" borderId="2" xfId="0" applyNumberFormat="1" applyFont="1" applyBorder="1" applyAlignment="1">
      <alignment vertical="center"/>
    </xf>
    <xf numFmtId="2" fontId="21" fillId="8" borderId="5" xfId="0" applyNumberFormat="1" applyFont="1" applyFill="1" applyBorder="1" applyAlignment="1">
      <alignment horizontal="center"/>
    </xf>
    <xf numFmtId="0" fontId="0" fillId="20" borderId="10" xfId="0" applyFill="1" applyBorder="1" applyAlignment="1">
      <alignment vertical="center"/>
    </xf>
    <xf numFmtId="0" fontId="0" fillId="20" borderId="16" xfId="0" applyFill="1" applyBorder="1" applyAlignment="1">
      <alignment vertical="center"/>
    </xf>
    <xf numFmtId="0" fontId="0" fillId="20" borderId="13" xfId="0" applyFill="1" applyBorder="1" applyAlignment="1">
      <alignment vertical="center"/>
    </xf>
    <xf numFmtId="0" fontId="0" fillId="15" borderId="16" xfId="0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167" fontId="0" fillId="15" borderId="14" xfId="0" applyNumberFormat="1" applyFont="1" applyFill="1" applyBorder="1" applyAlignment="1">
      <alignment horizontal="right" vertical="center"/>
    </xf>
    <xf numFmtId="10" fontId="0" fillId="15" borderId="15" xfId="0" applyNumberFormat="1" applyFont="1" applyFill="1" applyBorder="1" applyAlignment="1">
      <alignment horizontal="right" vertical="center"/>
    </xf>
    <xf numFmtId="0" fontId="27" fillId="15" borderId="15" xfId="0" applyNumberFormat="1" applyFont="1" applyFill="1" applyBorder="1" applyAlignment="1">
      <alignment horizontal="right" wrapText="1"/>
    </xf>
    <xf numFmtId="167" fontId="26" fillId="15" borderId="13" xfId="0" applyNumberFormat="1" applyFont="1" applyFill="1" applyBorder="1" applyAlignment="1">
      <alignment horizontal="center" vertical="center"/>
    </xf>
    <xf numFmtId="167" fontId="23" fillId="9" borderId="9" xfId="0" applyNumberFormat="1" applyFont="1" applyFill="1" applyBorder="1" applyAlignment="1">
      <alignment horizontal="center" vertical="center"/>
    </xf>
    <xf numFmtId="6" fontId="23" fillId="9" borderId="9" xfId="0" applyNumberFormat="1" applyFont="1" applyFill="1" applyBorder="1" applyAlignment="1">
      <alignment horizontal="right" vertical="center"/>
    </xf>
    <xf numFmtId="6" fontId="23" fillId="15" borderId="9" xfId="0" applyNumberFormat="1" applyFont="1" applyFill="1" applyBorder="1" applyAlignment="1">
      <alignment horizontal="center" vertical="center"/>
    </xf>
    <xf numFmtId="6" fontId="23" fillId="15" borderId="9" xfId="0" applyNumberFormat="1" applyFont="1" applyFill="1" applyBorder="1" applyAlignment="1">
      <alignment horizontal="right" vertical="center"/>
    </xf>
    <xf numFmtId="167" fontId="23" fillId="0" borderId="27" xfId="0" applyNumberFormat="1" applyFont="1" applyBorder="1" applyAlignment="1">
      <alignment horizontal="center" vertical="center"/>
    </xf>
    <xf numFmtId="6" fontId="23" fillId="0" borderId="27" xfId="0" applyNumberFormat="1" applyFont="1" applyBorder="1" applyAlignment="1">
      <alignment horizontal="right" vertical="center"/>
    </xf>
    <xf numFmtId="6" fontId="23" fillId="15" borderId="21" xfId="0" applyNumberFormat="1" applyFont="1" applyFill="1" applyBorder="1" applyAlignment="1">
      <alignment horizontal="right" vertical="center"/>
    </xf>
    <xf numFmtId="167" fontId="23" fillId="15" borderId="21" xfId="0" applyNumberFormat="1" applyFont="1" applyFill="1" applyBorder="1" applyAlignment="1">
      <alignment horizontal="center" vertical="center"/>
    </xf>
    <xf numFmtId="167" fontId="0" fillId="14" borderId="41" xfId="0" applyNumberFormat="1" applyFont="1" applyFill="1" applyBorder="1" applyAlignment="1">
      <alignment horizontal="right" vertical="center"/>
    </xf>
    <xf numFmtId="176" fontId="2" fillId="14" borderId="23" xfId="3" applyNumberFormat="1" applyFont="1" applyFill="1" applyBorder="1"/>
    <xf numFmtId="176" fontId="2" fillId="14" borderId="47" xfId="3" applyNumberFormat="1" applyFont="1" applyFill="1" applyBorder="1"/>
    <xf numFmtId="176" fontId="2" fillId="14" borderId="38" xfId="3" applyNumberFormat="1" applyFont="1" applyFill="1" applyBorder="1"/>
    <xf numFmtId="170" fontId="26" fillId="15" borderId="8" xfId="0" applyNumberFormat="1" applyFont="1" applyFill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2" fontId="0" fillId="15" borderId="3" xfId="0" applyNumberFormat="1" applyFont="1" applyFill="1" applyBorder="1" applyAlignment="1">
      <alignment horizontal="right" vertical="center"/>
    </xf>
    <xf numFmtId="167" fontId="0" fillId="14" borderId="42" xfId="0" applyNumberFormat="1" applyFill="1" applyBorder="1"/>
    <xf numFmtId="0" fontId="0" fillId="58" borderId="10" xfId="0" applyFill="1" applyBorder="1"/>
    <xf numFmtId="0" fontId="0" fillId="20" borderId="57" xfId="0" applyFill="1" applyBorder="1"/>
    <xf numFmtId="0" fontId="0" fillId="20" borderId="63" xfId="0" applyFill="1" applyBorder="1"/>
    <xf numFmtId="0" fontId="0" fillId="20" borderId="52" xfId="0" applyFill="1" applyBorder="1"/>
    <xf numFmtId="0" fontId="3" fillId="17" borderId="10" xfId="0" applyFont="1" applyFill="1" applyBorder="1"/>
    <xf numFmtId="0" fontId="0" fillId="20" borderId="54" xfId="0" applyFill="1" applyBorder="1"/>
    <xf numFmtId="167" fontId="0" fillId="63" borderId="47" xfId="0" applyNumberFormat="1" applyFill="1" applyBorder="1"/>
    <xf numFmtId="0" fontId="0" fillId="58" borderId="4" xfId="0" applyFill="1" applyBorder="1"/>
    <xf numFmtId="0" fontId="0" fillId="58" borderId="5" xfId="0" applyFill="1" applyBorder="1"/>
    <xf numFmtId="0" fontId="0" fillId="58" borderId="15" xfId="0" applyFill="1" applyBorder="1"/>
    <xf numFmtId="164" fontId="0" fillId="58" borderId="5" xfId="0" applyNumberFormat="1" applyFill="1" applyBorder="1"/>
    <xf numFmtId="8" fontId="0" fillId="58" borderId="5" xfId="0" applyNumberFormat="1" applyFont="1" applyFill="1" applyBorder="1" applyAlignment="1">
      <alignment vertical="center"/>
    </xf>
    <xf numFmtId="2" fontId="27" fillId="58" borderId="15" xfId="0" applyNumberFormat="1" applyFont="1" applyFill="1" applyBorder="1" applyAlignment="1">
      <alignment vertical="center"/>
    </xf>
    <xf numFmtId="167" fontId="0" fillId="4" borderId="38" xfId="0" applyNumberFormat="1" applyFont="1" applyFill="1" applyBorder="1" applyAlignment="1">
      <alignment vertical="center"/>
    </xf>
    <xf numFmtId="167" fontId="0" fillId="20" borderId="34" xfId="0" applyNumberFormat="1" applyFont="1" applyFill="1" applyBorder="1" applyAlignment="1">
      <alignment horizontal="right" vertical="center"/>
    </xf>
    <xf numFmtId="167" fontId="0" fillId="21" borderId="42" xfId="0" applyNumberFormat="1" applyFill="1" applyBorder="1"/>
    <xf numFmtId="167" fontId="0" fillId="20" borderId="35" xfId="0" applyNumberFormat="1" applyFont="1" applyFill="1" applyBorder="1" applyAlignment="1">
      <alignment horizontal="right" vertical="center"/>
    </xf>
    <xf numFmtId="167" fontId="0" fillId="21" borderId="43" xfId="0" applyNumberFormat="1" applyFill="1" applyBorder="1"/>
    <xf numFmtId="0" fontId="26" fillId="15" borderId="38" xfId="0" applyFont="1" applyFill="1" applyBorder="1" applyAlignment="1">
      <alignment horizontal="right"/>
    </xf>
    <xf numFmtId="167" fontId="73" fillId="14" borderId="38" xfId="0" applyNumberFormat="1" applyFont="1" applyFill="1" applyBorder="1" applyAlignment="1">
      <alignment horizontal="right" vertical="center"/>
    </xf>
    <xf numFmtId="10" fontId="0" fillId="14" borderId="38" xfId="0" applyNumberFormat="1" applyFont="1" applyFill="1" applyBorder="1" applyAlignment="1">
      <alignment vertical="center"/>
    </xf>
    <xf numFmtId="0" fontId="4" fillId="20" borderId="57" xfId="0" applyFont="1" applyFill="1" applyBorder="1" applyAlignment="1"/>
    <xf numFmtId="0" fontId="19" fillId="0" borderId="0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81" fillId="15" borderId="0" xfId="48" applyFill="1" applyBorder="1" applyAlignment="1">
      <alignment vertical="center"/>
    </xf>
    <xf numFmtId="0" fontId="82" fillId="0" borderId="38" xfId="0" applyFont="1" applyBorder="1"/>
    <xf numFmtId="1" fontId="0" fillId="15" borderId="38" xfId="0" applyNumberFormat="1" applyFont="1" applyFill="1" applyBorder="1" applyAlignment="1">
      <alignment vertical="center"/>
    </xf>
    <xf numFmtId="10" fontId="0" fillId="15" borderId="38" xfId="0" applyNumberFormat="1" applyFont="1" applyFill="1" applyBorder="1" applyAlignment="1">
      <alignment vertical="center"/>
    </xf>
    <xf numFmtId="0" fontId="0" fillId="15" borderId="38" xfId="0" applyFill="1" applyBorder="1"/>
    <xf numFmtId="0" fontId="3" fillId="17" borderId="38" xfId="0" applyFont="1" applyFill="1" applyBorder="1"/>
    <xf numFmtId="0" fontId="3" fillId="0" borderId="0" xfId="0" applyFont="1" applyAlignment="1">
      <alignment horizontal="right"/>
    </xf>
    <xf numFmtId="1" fontId="0" fillId="0" borderId="38" xfId="0" applyNumberFormat="1" applyBorder="1"/>
    <xf numFmtId="0" fontId="15" fillId="0" borderId="0" xfId="0" applyFont="1" applyBorder="1" applyAlignment="1">
      <alignment horizontal="left" vertical="center"/>
    </xf>
    <xf numFmtId="167" fontId="20" fillId="62" borderId="7" xfId="0" applyNumberFormat="1" applyFont="1" applyFill="1" applyBorder="1" applyAlignment="1">
      <alignment vertical="center"/>
    </xf>
    <xf numFmtId="0" fontId="15" fillId="0" borderId="18" xfId="0" applyFont="1" applyBorder="1" applyAlignment="1">
      <alignment horizontal="left" vertical="center"/>
    </xf>
    <xf numFmtId="167" fontId="20" fillId="62" borderId="75" xfId="0" applyNumberFormat="1" applyFont="1" applyFill="1" applyBorder="1" applyAlignment="1">
      <alignment vertical="center"/>
    </xf>
    <xf numFmtId="0" fontId="26" fillId="62" borderId="1" xfId="0" applyFont="1" applyFill="1" applyBorder="1"/>
    <xf numFmtId="0" fontId="0" fillId="62" borderId="0" xfId="0" applyFill="1"/>
    <xf numFmtId="0" fontId="83" fillId="14" borderId="77" xfId="0" applyFont="1" applyFill="1" applyBorder="1" applyAlignment="1">
      <alignment horizontal="right"/>
    </xf>
    <xf numFmtId="0" fontId="83" fillId="20" borderId="79" xfId="0" applyFont="1" applyFill="1" applyBorder="1" applyAlignment="1">
      <alignment horizontal="right"/>
    </xf>
    <xf numFmtId="0" fontId="84" fillId="0" borderId="0" xfId="45" applyFont="1"/>
    <xf numFmtId="2" fontId="1" fillId="17" borderId="42" xfId="45" applyNumberFormat="1" applyFont="1" applyFill="1" applyBorder="1" applyAlignment="1">
      <alignment horizontal="right"/>
    </xf>
    <xf numFmtId="0" fontId="0" fillId="20" borderId="10" xfId="0" applyFill="1" applyBorder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20" borderId="13" xfId="0" applyFill="1" applyBorder="1" applyAlignment="1">
      <alignment horizontal="center"/>
    </xf>
    <xf numFmtId="0" fontId="0" fillId="15" borderId="0" xfId="0" applyFont="1" applyFill="1" applyBorder="1" applyAlignment="1">
      <alignment vertical="center"/>
    </xf>
    <xf numFmtId="0" fontId="0" fillId="15" borderId="22" xfId="0" applyFont="1" applyFill="1" applyBorder="1" applyAlignment="1">
      <alignment vertical="center" wrapText="1"/>
    </xf>
    <xf numFmtId="0" fontId="0" fillId="15" borderId="8" xfId="0" applyFont="1" applyFill="1" applyBorder="1" applyAlignment="1">
      <alignment vertical="center" wrapText="1"/>
    </xf>
    <xf numFmtId="0" fontId="0" fillId="15" borderId="14" xfId="0" applyFont="1" applyFill="1" applyBorder="1" applyAlignment="1">
      <alignment vertical="center" wrapText="1"/>
    </xf>
    <xf numFmtId="0" fontId="0" fillId="15" borderId="4" xfId="0" applyFont="1" applyFill="1" applyBorder="1" applyAlignment="1">
      <alignment vertical="center" wrapText="1"/>
    </xf>
    <xf numFmtId="0" fontId="0" fillId="15" borderId="5" xfId="0" applyFont="1" applyFill="1" applyBorder="1" applyAlignment="1">
      <alignment vertical="center" wrapText="1"/>
    </xf>
    <xf numFmtId="0" fontId="0" fillId="15" borderId="15" xfId="0" applyFont="1" applyFill="1" applyBorder="1" applyAlignment="1">
      <alignment vertical="center" wrapText="1"/>
    </xf>
    <xf numFmtId="0" fontId="0" fillId="15" borderId="6" xfId="0" applyFont="1" applyFill="1" applyBorder="1" applyAlignment="1">
      <alignment horizontal="center" vertical="center"/>
    </xf>
    <xf numFmtId="0" fontId="0" fillId="15" borderId="7" xfId="0" applyFont="1" applyFill="1" applyBorder="1" applyAlignment="1">
      <alignment horizontal="center" vertical="center"/>
    </xf>
    <xf numFmtId="0" fontId="0" fillId="15" borderId="1" xfId="0" applyFont="1" applyFill="1" applyBorder="1" applyAlignment="1">
      <alignment horizontal="center" vertical="center"/>
    </xf>
    <xf numFmtId="49" fontId="0" fillId="15" borderId="6" xfId="0" applyNumberFormat="1" applyFont="1" applyFill="1" applyBorder="1" applyAlignment="1">
      <alignment horizontal="center" vertical="center"/>
    </xf>
    <xf numFmtId="49" fontId="0" fillId="15" borderId="7" xfId="0" applyNumberFormat="1" applyFont="1" applyFill="1" applyBorder="1" applyAlignment="1">
      <alignment horizontal="center" vertical="center"/>
    </xf>
    <xf numFmtId="49" fontId="0" fillId="15" borderId="1" xfId="0" applyNumberFormat="1" applyFont="1" applyFill="1" applyBorder="1" applyAlignment="1">
      <alignment horizontal="center" vertical="center"/>
    </xf>
    <xf numFmtId="0" fontId="80" fillId="20" borderId="22" xfId="0" applyFont="1" applyFill="1" applyBorder="1" applyAlignment="1">
      <alignment horizontal="center"/>
    </xf>
    <xf numFmtId="0" fontId="80" fillId="20" borderId="8" xfId="0" applyFont="1" applyFill="1" applyBorder="1" applyAlignment="1">
      <alignment horizontal="center"/>
    </xf>
    <xf numFmtId="0" fontId="80" fillId="20" borderId="14" xfId="0" applyFont="1" applyFill="1" applyBorder="1" applyAlignment="1">
      <alignment horizontal="center"/>
    </xf>
    <xf numFmtId="0" fontId="79" fillId="2" borderId="38" xfId="0" applyFont="1" applyFill="1" applyBorder="1" applyAlignment="1">
      <alignment horizontal="right" vertical="center" wrapText="1"/>
    </xf>
    <xf numFmtId="0" fontId="0" fillId="20" borderId="8" xfId="0" applyFill="1" applyBorder="1" applyAlignment="1">
      <alignment horizontal="center" wrapText="1"/>
    </xf>
    <xf numFmtId="0" fontId="0" fillId="20" borderId="19" xfId="0" applyFill="1" applyBorder="1" applyAlignment="1">
      <alignment horizontal="center" wrapText="1"/>
    </xf>
    <xf numFmtId="0" fontId="3" fillId="58" borderId="10" xfId="0" applyFont="1" applyFill="1" applyBorder="1" applyAlignment="1">
      <alignment horizontal="center"/>
    </xf>
    <xf numFmtId="0" fontId="3" fillId="58" borderId="13" xfId="0" applyFont="1" applyFill="1" applyBorder="1" applyAlignment="1">
      <alignment horizontal="center"/>
    </xf>
    <xf numFmtId="0" fontId="3" fillId="20" borderId="22" xfId="0" applyFont="1" applyFill="1" applyBorder="1" applyAlignment="1">
      <alignment horizontal="center" vertical="center"/>
    </xf>
    <xf numFmtId="0" fontId="3" fillId="20" borderId="63" xfId="0" applyFont="1" applyFill="1" applyBorder="1" applyAlignment="1">
      <alignment horizontal="center" vertical="center"/>
    </xf>
    <xf numFmtId="0" fontId="38" fillId="15" borderId="22" xfId="0" applyFont="1" applyFill="1" applyBorder="1" applyAlignment="1">
      <alignment horizontal="center" vertical="center"/>
    </xf>
    <xf numFmtId="0" fontId="38" fillId="15" borderId="14" xfId="0" applyFont="1" applyFill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/>
    </xf>
    <xf numFmtId="0" fontId="38" fillId="15" borderId="15" xfId="0" applyFont="1" applyFill="1" applyBorder="1" applyAlignment="1">
      <alignment horizontal="center" vertical="center"/>
    </xf>
    <xf numFmtId="0" fontId="3" fillId="15" borderId="10" xfId="0" applyNumberFormat="1" applyFont="1" applyFill="1" applyBorder="1" applyAlignment="1">
      <alignment horizontal="center" vertical="center" wrapText="1"/>
    </xf>
    <xf numFmtId="0" fontId="3" fillId="15" borderId="16" xfId="0" applyNumberFormat="1" applyFont="1" applyFill="1" applyBorder="1" applyAlignment="1">
      <alignment horizontal="center" vertical="center" wrapText="1"/>
    </xf>
    <xf numFmtId="0" fontId="3" fillId="15" borderId="13" xfId="0" applyNumberFormat="1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/>
    </xf>
    <xf numFmtId="0" fontId="3" fillId="15" borderId="15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16" borderId="22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14" xfId="0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10" fontId="5" fillId="15" borderId="22" xfId="3" applyNumberFormat="1" applyFont="1" applyFill="1" applyBorder="1" applyAlignment="1">
      <alignment horizontal="center"/>
    </xf>
    <xf numFmtId="10" fontId="5" fillId="15" borderId="8" xfId="3" applyNumberFormat="1" applyFont="1" applyFill="1" applyBorder="1" applyAlignment="1">
      <alignment horizontal="center"/>
    </xf>
    <xf numFmtId="10" fontId="5" fillId="15" borderId="14" xfId="3" applyNumberFormat="1" applyFont="1" applyFill="1" applyBorder="1" applyAlignment="1">
      <alignment horizontal="center"/>
    </xf>
    <xf numFmtId="10" fontId="31" fillId="18" borderId="17" xfId="0" applyNumberFormat="1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10" fontId="35" fillId="15" borderId="8" xfId="3" applyNumberFormat="1" applyFont="1" applyFill="1" applyBorder="1" applyAlignment="1">
      <alignment horizontal="center"/>
    </xf>
    <xf numFmtId="10" fontId="35" fillId="15" borderId="14" xfId="3" applyNumberFormat="1" applyFont="1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16" borderId="13" xfId="0" applyFill="1" applyBorder="1" applyAlignment="1">
      <alignment horizontal="center"/>
    </xf>
    <xf numFmtId="0" fontId="0" fillId="22" borderId="16" xfId="0" applyFill="1" applyBorder="1" applyAlignment="1">
      <alignment horizontal="center"/>
    </xf>
    <xf numFmtId="0" fontId="0" fillId="22" borderId="13" xfId="0" applyFill="1" applyBorder="1" applyAlignment="1">
      <alignment horizontal="center"/>
    </xf>
    <xf numFmtId="0" fontId="25" fillId="15" borderId="4" xfId="0" applyFont="1" applyFill="1" applyBorder="1" applyAlignment="1">
      <alignment horizontal="center" wrapText="1"/>
    </xf>
    <xf numFmtId="0" fontId="25" fillId="15" borderId="5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28" fillId="0" borderId="5" xfId="0" applyFont="1" applyBorder="1" applyAlignment="1">
      <alignment horizontal="center" wrapText="1"/>
    </xf>
    <xf numFmtId="0" fontId="38" fillId="15" borderId="10" xfId="0" applyFont="1" applyFill="1" applyBorder="1" applyAlignment="1">
      <alignment horizontal="right" vertical="center"/>
    </xf>
    <xf numFmtId="0" fontId="38" fillId="15" borderId="16" xfId="0" applyFont="1" applyFill="1" applyBorder="1" applyAlignment="1">
      <alignment horizontal="right" vertical="center"/>
    </xf>
    <xf numFmtId="6" fontId="6" fillId="15" borderId="16" xfId="0" applyNumberFormat="1" applyFont="1" applyFill="1" applyBorder="1" applyAlignment="1">
      <alignment horizontal="center" vertical="center"/>
    </xf>
    <xf numFmtId="6" fontId="6" fillId="15" borderId="13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21" fillId="0" borderId="2" xfId="0" applyFont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16" fillId="0" borderId="2" xfId="0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 wrapText="1"/>
    </xf>
    <xf numFmtId="0" fontId="16" fillId="0" borderId="5" xfId="0" applyFont="1" applyBorder="1" applyAlignment="1">
      <alignment horizontal="right" vertical="center" wrapText="1"/>
    </xf>
    <xf numFmtId="0" fontId="16" fillId="0" borderId="36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2" fillId="13" borderId="10" xfId="0" applyFont="1" applyFill="1" applyBorder="1" applyAlignment="1">
      <alignment horizontal="center"/>
    </xf>
    <xf numFmtId="0" fontId="22" fillId="13" borderId="16" xfId="0" applyFont="1" applyFill="1" applyBorder="1" applyAlignment="1">
      <alignment horizontal="center"/>
    </xf>
    <xf numFmtId="0" fontId="22" fillId="13" borderId="13" xfId="0" applyFont="1" applyFill="1" applyBorder="1" applyAlignment="1">
      <alignment horizontal="center"/>
    </xf>
    <xf numFmtId="0" fontId="17" fillId="13" borderId="10" xfId="0" applyFont="1" applyFill="1" applyBorder="1" applyAlignment="1">
      <alignment horizontal="center"/>
    </xf>
    <xf numFmtId="0" fontId="17" fillId="13" borderId="16" xfId="0" applyFont="1" applyFill="1" applyBorder="1" applyAlignment="1">
      <alignment horizontal="center"/>
    </xf>
    <xf numFmtId="0" fontId="17" fillId="13" borderId="13" xfId="0" applyFont="1" applyFill="1" applyBorder="1" applyAlignment="1">
      <alignment horizontal="center"/>
    </xf>
    <xf numFmtId="0" fontId="16" fillId="0" borderId="46" xfId="0" applyFont="1" applyBorder="1" applyAlignment="1">
      <alignment horizontal="right"/>
    </xf>
    <xf numFmtId="0" fontId="16" fillId="0" borderId="28" xfId="0" applyFont="1" applyBorder="1" applyAlignment="1">
      <alignment horizontal="right"/>
    </xf>
    <xf numFmtId="0" fontId="22" fillId="13" borderId="10" xfId="0" applyFont="1" applyFill="1" applyBorder="1" applyAlignment="1">
      <alignment horizontal="center" vertical="center"/>
    </xf>
    <xf numFmtId="0" fontId="22" fillId="13" borderId="16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15" fillId="2" borderId="47" xfId="0" applyFont="1" applyFill="1" applyBorder="1" applyAlignment="1">
      <alignment horizontal="center" vertical="center"/>
    </xf>
    <xf numFmtId="0" fontId="15" fillId="2" borderId="38" xfId="0" applyFont="1" applyFill="1" applyBorder="1" applyAlignment="1">
      <alignment horizontal="center" vertical="center"/>
    </xf>
    <xf numFmtId="167" fontId="15" fillId="2" borderId="48" xfId="0" applyNumberFormat="1" applyFont="1" applyFill="1" applyBorder="1" applyAlignment="1">
      <alignment horizontal="center" vertical="center"/>
    </xf>
    <xf numFmtId="167" fontId="15" fillId="2" borderId="49" xfId="0" applyNumberFormat="1" applyFont="1" applyFill="1" applyBorder="1" applyAlignment="1">
      <alignment horizontal="center" vertical="center"/>
    </xf>
    <xf numFmtId="167" fontId="16" fillId="8" borderId="38" xfId="0" applyNumberFormat="1" applyFont="1" applyFill="1" applyBorder="1" applyAlignment="1">
      <alignment horizontal="center" vertical="center"/>
    </xf>
    <xf numFmtId="167" fontId="16" fillId="8" borderId="42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7" fillId="13" borderId="10" xfId="0" applyFont="1" applyFill="1" applyBorder="1" applyAlignment="1">
      <alignment horizontal="center" vertical="center"/>
    </xf>
    <xf numFmtId="0" fontId="17" fillId="13" borderId="16" xfId="0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76" fillId="15" borderId="22" xfId="0" applyFont="1" applyFill="1" applyBorder="1" applyAlignment="1">
      <alignment horizontal="center"/>
    </xf>
    <xf numFmtId="0" fontId="76" fillId="15" borderId="8" xfId="0" applyFont="1" applyFill="1" applyBorder="1" applyAlignment="1">
      <alignment horizontal="center"/>
    </xf>
    <xf numFmtId="0" fontId="76" fillId="15" borderId="14" xfId="0" applyFont="1" applyFill="1" applyBorder="1" applyAlignment="1">
      <alignment horizontal="center"/>
    </xf>
    <xf numFmtId="0" fontId="76" fillId="15" borderId="4" xfId="0" applyFont="1" applyFill="1" applyBorder="1" applyAlignment="1">
      <alignment horizontal="center"/>
    </xf>
    <xf numFmtId="0" fontId="76" fillId="15" borderId="5" xfId="0" applyFont="1" applyFill="1" applyBorder="1" applyAlignment="1">
      <alignment horizontal="center"/>
    </xf>
    <xf numFmtId="0" fontId="76" fillId="15" borderId="15" xfId="0" applyFont="1" applyFill="1" applyBorder="1" applyAlignment="1">
      <alignment horizontal="center"/>
    </xf>
    <xf numFmtId="0" fontId="29" fillId="0" borderId="5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14" fillId="2" borderId="16" xfId="0" applyFont="1" applyFill="1" applyBorder="1" applyAlignment="1">
      <alignment horizontal="center" vertical="center"/>
    </xf>
    <xf numFmtId="0" fontId="19" fillId="0" borderId="17" xfId="0" applyFont="1" applyBorder="1" applyAlignment="1">
      <alignment horizontal="left" vertical="center"/>
    </xf>
    <xf numFmtId="0" fontId="19" fillId="0" borderId="50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9" fontId="16" fillId="8" borderId="49" xfId="0" applyNumberFormat="1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0" fontId="19" fillId="0" borderId="51" xfId="0" applyFont="1" applyBorder="1" applyAlignment="1">
      <alignment horizontal="left" vertical="center"/>
    </xf>
    <xf numFmtId="49" fontId="18" fillId="13" borderId="22" xfId="0" applyNumberFormat="1" applyFont="1" applyFill="1" applyBorder="1" applyAlignment="1">
      <alignment horizontal="center" vertical="center" wrapText="1"/>
    </xf>
    <xf numFmtId="49" fontId="18" fillId="13" borderId="8" xfId="0" applyNumberFormat="1" applyFont="1" applyFill="1" applyBorder="1" applyAlignment="1">
      <alignment horizontal="center" vertical="center" wrapText="1"/>
    </xf>
    <xf numFmtId="49" fontId="18" fillId="13" borderId="14" xfId="0" applyNumberFormat="1" applyFont="1" applyFill="1" applyBorder="1" applyAlignment="1">
      <alignment horizontal="center" vertical="center" wrapText="1"/>
    </xf>
    <xf numFmtId="49" fontId="18" fillId="13" borderId="4" xfId="0" applyNumberFormat="1" applyFont="1" applyFill="1" applyBorder="1" applyAlignment="1">
      <alignment horizontal="center" vertical="center" wrapText="1"/>
    </xf>
    <xf numFmtId="49" fontId="18" fillId="13" borderId="5" xfId="0" applyNumberFormat="1" applyFont="1" applyFill="1" applyBorder="1" applyAlignment="1">
      <alignment horizontal="center" vertical="center" wrapText="1"/>
    </xf>
    <xf numFmtId="49" fontId="18" fillId="13" borderId="15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right"/>
    </xf>
    <xf numFmtId="0" fontId="16" fillId="0" borderId="5" xfId="0" applyFont="1" applyBorder="1" applyAlignment="1">
      <alignment horizontal="right"/>
    </xf>
    <xf numFmtId="0" fontId="16" fillId="0" borderId="36" xfId="0" applyFont="1" applyBorder="1" applyAlignment="1">
      <alignment horizontal="right"/>
    </xf>
    <xf numFmtId="0" fontId="16" fillId="0" borderId="32" xfId="0" applyFont="1" applyBorder="1" applyAlignment="1">
      <alignment horizontal="right"/>
    </xf>
    <xf numFmtId="49" fontId="19" fillId="0" borderId="8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67" fontId="0" fillId="15" borderId="22" xfId="0" applyNumberFormat="1" applyFont="1" applyFill="1" applyBorder="1" applyAlignment="1">
      <alignment horizontal="center" vertical="center"/>
    </xf>
    <xf numFmtId="167" fontId="16" fillId="15" borderId="8" xfId="0" applyNumberFormat="1" applyFont="1" applyFill="1" applyBorder="1" applyAlignment="1">
      <alignment horizontal="center" vertical="center"/>
    </xf>
    <xf numFmtId="167" fontId="16" fillId="15" borderId="14" xfId="0" applyNumberFormat="1" applyFont="1" applyFill="1" applyBorder="1" applyAlignment="1">
      <alignment horizontal="center" vertical="center"/>
    </xf>
    <xf numFmtId="0" fontId="77" fillId="15" borderId="22" xfId="0" applyFont="1" applyFill="1" applyBorder="1" applyAlignment="1">
      <alignment horizontal="center"/>
    </xf>
    <xf numFmtId="0" fontId="77" fillId="15" borderId="8" xfId="0" applyFont="1" applyFill="1" applyBorder="1" applyAlignment="1">
      <alignment horizontal="center"/>
    </xf>
    <xf numFmtId="0" fontId="77" fillId="15" borderId="14" xfId="0" applyFont="1" applyFill="1" applyBorder="1" applyAlignment="1">
      <alignment horizontal="center"/>
    </xf>
    <xf numFmtId="49" fontId="78" fillId="15" borderId="10" xfId="0" applyNumberFormat="1" applyFont="1" applyFill="1" applyBorder="1" applyAlignment="1">
      <alignment horizontal="center" vertical="center" wrapText="1"/>
    </xf>
    <xf numFmtId="49" fontId="78" fillId="15" borderId="16" xfId="0" applyNumberFormat="1" applyFont="1" applyFill="1" applyBorder="1" applyAlignment="1">
      <alignment horizontal="center" vertical="center" wrapText="1"/>
    </xf>
    <xf numFmtId="49" fontId="78" fillId="15" borderId="13" xfId="0" applyNumberFormat="1" applyFont="1" applyFill="1" applyBorder="1" applyAlignment="1">
      <alignment horizontal="center" vertical="center" wrapText="1"/>
    </xf>
    <xf numFmtId="49" fontId="8" fillId="0" borderId="52" xfId="0" applyNumberFormat="1" applyFont="1" applyBorder="1" applyAlignment="1" applyProtection="1">
      <alignment horizontal="left" vertical="center" wrapText="1"/>
      <protection locked="0"/>
    </xf>
    <xf numFmtId="49" fontId="8" fillId="0" borderId="18" xfId="0" applyNumberFormat="1" applyFont="1" applyBorder="1" applyAlignment="1" applyProtection="1">
      <alignment horizontal="left" vertical="center" wrapText="1"/>
      <protection locked="0"/>
    </xf>
    <xf numFmtId="49" fontId="8" fillId="0" borderId="53" xfId="0" applyNumberFormat="1" applyFont="1" applyBorder="1" applyAlignment="1" applyProtection="1">
      <alignment horizontal="left" vertical="center" wrapText="1"/>
      <protection locked="0"/>
    </xf>
    <xf numFmtId="49" fontId="57" fillId="0" borderId="54" xfId="0" applyNumberFormat="1" applyFont="1" applyBorder="1" applyAlignment="1" applyProtection="1">
      <alignment horizontal="left" vertical="center" wrapText="1"/>
      <protection locked="0"/>
    </xf>
    <xf numFmtId="49" fontId="57" fillId="0" borderId="55" xfId="0" applyNumberFormat="1" applyFont="1" applyBorder="1" applyAlignment="1" applyProtection="1">
      <alignment horizontal="left" vertical="center" wrapText="1"/>
      <protection locked="0"/>
    </xf>
    <xf numFmtId="49" fontId="57" fillId="0" borderId="56" xfId="0" applyNumberFormat="1" applyFont="1" applyBorder="1" applyAlignment="1" applyProtection="1">
      <alignment horizontal="left" vertical="center" wrapText="1"/>
      <protection locked="0"/>
    </xf>
    <xf numFmtId="49" fontId="15" fillId="0" borderId="28" xfId="0" applyNumberFormat="1" applyFont="1" applyBorder="1" applyAlignment="1">
      <alignment horizontal="left" vertical="center" wrapText="1"/>
    </xf>
    <xf numFmtId="49" fontId="15" fillId="0" borderId="25" xfId="0" applyNumberFormat="1" applyFont="1" applyBorder="1" applyAlignment="1">
      <alignment horizontal="left" vertical="center" wrapText="1"/>
    </xf>
    <xf numFmtId="49" fontId="4" fillId="0" borderId="57" xfId="0" applyNumberFormat="1" applyFont="1" applyBorder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 wrapText="1"/>
    </xf>
    <xf numFmtId="49" fontId="4" fillId="0" borderId="50" xfId="0" applyNumberFormat="1" applyFont="1" applyBorder="1" applyAlignment="1">
      <alignment horizontal="left" vertical="center" wrapText="1"/>
    </xf>
    <xf numFmtId="49" fontId="15" fillId="0" borderId="46" xfId="0" applyNumberFormat="1" applyFont="1" applyBorder="1" applyAlignment="1" applyProtection="1">
      <alignment horizontal="left" vertical="center" wrapText="1"/>
      <protection locked="0"/>
    </xf>
    <xf numFmtId="49" fontId="15" fillId="0" borderId="28" xfId="0" applyNumberFormat="1" applyFont="1" applyBorder="1" applyAlignment="1" applyProtection="1">
      <alignment horizontal="left" vertical="center" wrapText="1"/>
      <protection locked="0"/>
    </xf>
    <xf numFmtId="49" fontId="15" fillId="0" borderId="25" xfId="0" applyNumberFormat="1" applyFont="1" applyBorder="1" applyAlignment="1" applyProtection="1">
      <alignment horizontal="left" vertical="center" wrapText="1"/>
      <protection locked="0"/>
    </xf>
    <xf numFmtId="49" fontId="4" fillId="0" borderId="2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Border="1" applyAlignment="1" applyProtection="1">
      <alignment horizontal="left" vertical="center" wrapText="1"/>
      <protection locked="0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49" fontId="57" fillId="2" borderId="54" xfId="0" applyNumberFormat="1" applyFont="1" applyFill="1" applyBorder="1" applyAlignment="1">
      <alignment horizontal="left" vertical="center" wrapText="1"/>
    </xf>
    <xf numFmtId="49" fontId="57" fillId="2" borderId="55" xfId="0" applyNumberFormat="1" applyFont="1" applyFill="1" applyBorder="1" applyAlignment="1">
      <alignment horizontal="left" vertical="center" wrapText="1"/>
    </xf>
    <xf numFmtId="49" fontId="57" fillId="2" borderId="56" xfId="0" applyNumberFormat="1" applyFont="1" applyFill="1" applyBorder="1" applyAlignment="1">
      <alignment horizontal="left" vertical="center" wrapText="1"/>
    </xf>
    <xf numFmtId="0" fontId="27" fillId="15" borderId="10" xfId="0" applyFont="1" applyFill="1" applyBorder="1" applyAlignment="1">
      <alignment horizontal="right" vertical="center"/>
    </xf>
    <xf numFmtId="0" fontId="27" fillId="15" borderId="16" xfId="0" applyFont="1" applyFill="1" applyBorder="1" applyAlignment="1">
      <alignment horizontal="right" vertical="center"/>
    </xf>
    <xf numFmtId="0" fontId="16" fillId="0" borderId="2" xfId="0" applyFont="1" applyBorder="1" applyAlignment="1">
      <alignment horizontal="right" vertical="center" wrapText="1"/>
    </xf>
    <xf numFmtId="0" fontId="16" fillId="0" borderId="0" xfId="0" applyFont="1" applyBorder="1" applyAlignment="1">
      <alignment horizontal="right" vertical="center" wrapText="1"/>
    </xf>
    <xf numFmtId="0" fontId="16" fillId="0" borderId="29" xfId="0" applyFont="1" applyBorder="1" applyAlignment="1">
      <alignment horizontal="right" vertical="center" wrapText="1"/>
    </xf>
    <xf numFmtId="0" fontId="0" fillId="0" borderId="2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2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11" borderId="22" xfId="0" applyFill="1" applyBorder="1" applyAlignment="1">
      <alignment horizontal="right"/>
    </xf>
    <xf numFmtId="0" fontId="0" fillId="11" borderId="8" xfId="0" applyFill="1" applyBorder="1" applyAlignment="1">
      <alignment horizontal="right"/>
    </xf>
    <xf numFmtId="0" fontId="6" fillId="12" borderId="10" xfId="0" applyFont="1" applyFill="1" applyBorder="1" applyAlignment="1">
      <alignment horizontal="center" vertical="center"/>
    </xf>
    <xf numFmtId="0" fontId="6" fillId="12" borderId="16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11" borderId="2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1" borderId="5" xfId="0" applyFill="1" applyBorder="1" applyAlignment="1">
      <alignment horizontal="right"/>
    </xf>
    <xf numFmtId="0" fontId="65" fillId="59" borderId="10" xfId="0" applyFont="1" applyFill="1" applyBorder="1" applyAlignment="1">
      <alignment horizontal="center" vertical="center" wrapText="1"/>
    </xf>
    <xf numFmtId="0" fontId="65" fillId="59" borderId="16" xfId="0" applyFont="1" applyFill="1" applyBorder="1" applyAlignment="1">
      <alignment horizontal="center" vertical="center" wrapText="1"/>
    </xf>
    <xf numFmtId="0" fontId="65" fillId="59" borderId="8" xfId="0" applyFont="1" applyFill="1" applyBorder="1" applyAlignment="1">
      <alignment horizontal="center" vertical="center" wrapText="1"/>
    </xf>
    <xf numFmtId="0" fontId="65" fillId="59" borderId="13" xfId="0" applyFont="1" applyFill="1" applyBorder="1" applyAlignment="1">
      <alignment horizontal="center" vertical="center" wrapText="1"/>
    </xf>
    <xf numFmtId="0" fontId="64" fillId="6" borderId="10" xfId="0" applyFont="1" applyFill="1" applyBorder="1" applyAlignment="1">
      <alignment horizontal="center"/>
    </xf>
    <xf numFmtId="0" fontId="64" fillId="6" borderId="16" xfId="0" applyFont="1" applyFill="1" applyBorder="1" applyAlignment="1">
      <alignment horizontal="center"/>
    </xf>
    <xf numFmtId="0" fontId="64" fillId="6" borderId="13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7" fontId="8" fillId="0" borderId="0" xfId="0" applyNumberFormat="1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0" fillId="11" borderId="4" xfId="0" applyFill="1" applyBorder="1" applyAlignment="1">
      <alignment horizontal="right"/>
    </xf>
    <xf numFmtId="0" fontId="8" fillId="5" borderId="22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right"/>
    </xf>
    <xf numFmtId="0" fontId="3" fillId="4" borderId="10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0" fillId="61" borderId="8" xfId="0" applyFill="1" applyBorder="1" applyAlignment="1">
      <alignment horizontal="right"/>
    </xf>
    <xf numFmtId="0" fontId="0" fillId="61" borderId="0" xfId="0" applyFill="1" applyBorder="1" applyAlignment="1">
      <alignment horizontal="right"/>
    </xf>
    <xf numFmtId="0" fontId="0" fillId="61" borderId="5" xfId="0" applyFill="1" applyBorder="1" applyAlignment="1">
      <alignment horizontal="right"/>
    </xf>
    <xf numFmtId="0" fontId="51" fillId="0" borderId="0" xfId="45" applyFont="1"/>
  </cellXfs>
  <cellStyles count="49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urrency" xfId="47" builtinId="4"/>
    <cellStyle name="Currency 2" xfId="1"/>
    <cellStyle name="Explanatory Text" xfId="19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8" builtinId="8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2"/>
    <cellStyle name="Normal 3" xfId="45"/>
    <cellStyle name="Note 2" xfId="46"/>
    <cellStyle name="Output" xfId="14" builtinId="21" customBuiltin="1"/>
    <cellStyle name="Percent" xfId="3" builtinId="5"/>
    <cellStyle name="Percent 2" xfId="4"/>
    <cellStyle name="Title" xfId="5" builtinId="15" customBuiltin="1"/>
    <cellStyle name="Total" xfId="20" builtinId="25" customBuiltin="1"/>
    <cellStyle name="Warning Text" xfId="18" builtinId="11" customBuiltin="1"/>
  </cellStyles>
  <dxfs count="0"/>
  <tableStyles count="0" defaultTableStyle="TableStyleMedium9" defaultPivotStyle="PivotStyleLight16"/>
  <colors>
    <mruColors>
      <color rgb="FF2DF8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1928-201</a:t>
            </a:r>
            <a:r>
              <a:rPr lang="en-US" altLang="zh-CN"/>
              <a:t>9</a:t>
            </a:r>
            <a:r>
              <a:rPr lang="en-US" baseline="0"/>
              <a:t> S</a:t>
            </a:r>
            <a:r>
              <a:rPr lang="en-US" altLang="zh-CN" baseline="0"/>
              <a:t>&amp;</a:t>
            </a:r>
            <a:r>
              <a:rPr lang="en-US" baseline="0"/>
              <a:t>P500 annual return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5875">
                <a:solidFill>
                  <a:schemeClr val="tx1"/>
                </a:solidFill>
              </a:ln>
              <a:effectLst/>
            </c:spPr>
          </c:marker>
          <c:dPt>
            <c:idx val="1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20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</c:dPt>
          <c:dPt>
            <c:idx val="28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31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37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40"/>
            <c:marker>
              <c:spPr>
                <a:solidFill>
                  <a:srgbClr val="C00000"/>
                </a:solidFill>
                <a:ln w="15875">
                  <a:solidFill>
                    <a:srgbClr val="C00000"/>
                  </a:solidFill>
                </a:ln>
                <a:effectLst/>
              </c:spPr>
            </c:marker>
            <c:bubble3D val="0"/>
          </c:dPt>
          <c:dPt>
            <c:idx val="42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43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50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5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5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64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65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66"/>
            <c:marker>
              <c:spPr>
                <a:solidFill>
                  <a:srgbClr val="C00000"/>
                </a:solidFill>
                <a:ln w="15875">
                  <a:solidFill>
                    <a:srgbClr val="C00000"/>
                  </a:solidFill>
                </a:ln>
                <a:effectLst/>
              </c:spPr>
            </c:marker>
            <c:bubble3D val="0"/>
          </c:dPt>
          <c:dPt>
            <c:idx val="7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77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7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83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8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Pt>
            <c:idx val="87"/>
            <c:marker>
              <c:spPr>
                <a:solidFill>
                  <a:srgbClr val="FF0000"/>
                </a:solidFill>
                <a:ln w="1587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88"/>
            <c:marker>
              <c:spPr>
                <a:solidFill>
                  <a:srgbClr val="FF0000"/>
                </a:solidFill>
                <a:ln w="1587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xVal>
            <c:numRef>
              <c:f>'FLR-CAP'!$B$4:$B$95</c:f>
              <c:numCache>
                <c:formatCode>0</c:formatCode>
                <c:ptCount val="92"/>
                <c:pt idx="0">
                  <c:v>1928</c:v>
                </c:pt>
                <c:pt idx="1">
                  <c:v>1929</c:v>
                </c:pt>
                <c:pt idx="2">
                  <c:v>1930</c:v>
                </c:pt>
                <c:pt idx="3">
                  <c:v>1931</c:v>
                </c:pt>
                <c:pt idx="4">
                  <c:v>1932</c:v>
                </c:pt>
                <c:pt idx="5">
                  <c:v>1933</c:v>
                </c:pt>
                <c:pt idx="6">
                  <c:v>1934</c:v>
                </c:pt>
                <c:pt idx="7">
                  <c:v>1935</c:v>
                </c:pt>
                <c:pt idx="8">
                  <c:v>1936</c:v>
                </c:pt>
                <c:pt idx="9">
                  <c:v>1937</c:v>
                </c:pt>
                <c:pt idx="10">
                  <c:v>1938</c:v>
                </c:pt>
                <c:pt idx="11">
                  <c:v>1939</c:v>
                </c:pt>
                <c:pt idx="12">
                  <c:v>1940</c:v>
                </c:pt>
                <c:pt idx="13">
                  <c:v>1941</c:v>
                </c:pt>
                <c:pt idx="14">
                  <c:v>1942</c:v>
                </c:pt>
                <c:pt idx="15">
                  <c:v>1943</c:v>
                </c:pt>
                <c:pt idx="16">
                  <c:v>1944</c:v>
                </c:pt>
                <c:pt idx="17">
                  <c:v>1945</c:v>
                </c:pt>
                <c:pt idx="18">
                  <c:v>1946</c:v>
                </c:pt>
                <c:pt idx="19">
                  <c:v>1947</c:v>
                </c:pt>
                <c:pt idx="20">
                  <c:v>1948</c:v>
                </c:pt>
                <c:pt idx="21">
                  <c:v>1949</c:v>
                </c:pt>
                <c:pt idx="22">
                  <c:v>1950</c:v>
                </c:pt>
                <c:pt idx="23">
                  <c:v>1951</c:v>
                </c:pt>
                <c:pt idx="24">
                  <c:v>1952</c:v>
                </c:pt>
                <c:pt idx="25">
                  <c:v>1953</c:v>
                </c:pt>
                <c:pt idx="26">
                  <c:v>1954</c:v>
                </c:pt>
                <c:pt idx="27">
                  <c:v>1955</c:v>
                </c:pt>
                <c:pt idx="28">
                  <c:v>1956</c:v>
                </c:pt>
                <c:pt idx="29">
                  <c:v>1957</c:v>
                </c:pt>
                <c:pt idx="30">
                  <c:v>1958</c:v>
                </c:pt>
                <c:pt idx="31">
                  <c:v>1959</c:v>
                </c:pt>
                <c:pt idx="32">
                  <c:v>1960</c:v>
                </c:pt>
                <c:pt idx="33">
                  <c:v>1961</c:v>
                </c:pt>
                <c:pt idx="34">
                  <c:v>1962</c:v>
                </c:pt>
                <c:pt idx="35">
                  <c:v>1963</c:v>
                </c:pt>
                <c:pt idx="36">
                  <c:v>1964</c:v>
                </c:pt>
                <c:pt idx="37">
                  <c:v>1965</c:v>
                </c:pt>
                <c:pt idx="38">
                  <c:v>1966</c:v>
                </c:pt>
                <c:pt idx="39">
                  <c:v>1967</c:v>
                </c:pt>
                <c:pt idx="40">
                  <c:v>1968</c:v>
                </c:pt>
                <c:pt idx="41">
                  <c:v>1969</c:v>
                </c:pt>
                <c:pt idx="42">
                  <c:v>1970</c:v>
                </c:pt>
                <c:pt idx="43">
                  <c:v>1971</c:v>
                </c:pt>
                <c:pt idx="44">
                  <c:v>1972</c:v>
                </c:pt>
                <c:pt idx="45">
                  <c:v>1973</c:v>
                </c:pt>
                <c:pt idx="46">
                  <c:v>1974</c:v>
                </c:pt>
                <c:pt idx="47">
                  <c:v>1975</c:v>
                </c:pt>
                <c:pt idx="48">
                  <c:v>1976</c:v>
                </c:pt>
                <c:pt idx="49">
                  <c:v>1977</c:v>
                </c:pt>
                <c:pt idx="50">
                  <c:v>1978</c:v>
                </c:pt>
                <c:pt idx="51">
                  <c:v>1979</c:v>
                </c:pt>
                <c:pt idx="52">
                  <c:v>1980</c:v>
                </c:pt>
                <c:pt idx="53">
                  <c:v>1981</c:v>
                </c:pt>
                <c:pt idx="54">
                  <c:v>1982</c:v>
                </c:pt>
                <c:pt idx="55">
                  <c:v>1983</c:v>
                </c:pt>
                <c:pt idx="56">
                  <c:v>1984</c:v>
                </c:pt>
                <c:pt idx="57">
                  <c:v>1985</c:v>
                </c:pt>
                <c:pt idx="58">
                  <c:v>1986</c:v>
                </c:pt>
                <c:pt idx="59">
                  <c:v>1987</c:v>
                </c:pt>
                <c:pt idx="60">
                  <c:v>1988</c:v>
                </c:pt>
                <c:pt idx="61">
                  <c:v>1989</c:v>
                </c:pt>
                <c:pt idx="62">
                  <c:v>1990</c:v>
                </c:pt>
                <c:pt idx="63">
                  <c:v>1991</c:v>
                </c:pt>
                <c:pt idx="64">
                  <c:v>1992</c:v>
                </c:pt>
                <c:pt idx="65">
                  <c:v>1993</c:v>
                </c:pt>
                <c:pt idx="66">
                  <c:v>1994</c:v>
                </c:pt>
                <c:pt idx="67">
                  <c:v>1995</c:v>
                </c:pt>
                <c:pt idx="68">
                  <c:v>1996</c:v>
                </c:pt>
                <c:pt idx="69">
                  <c:v>1997</c:v>
                </c:pt>
                <c:pt idx="70">
                  <c:v>1998</c:v>
                </c:pt>
                <c:pt idx="71">
                  <c:v>1999</c:v>
                </c:pt>
                <c:pt idx="72">
                  <c:v>2000</c:v>
                </c:pt>
                <c:pt idx="73">
                  <c:v>2001</c:v>
                </c:pt>
                <c:pt idx="74">
                  <c:v>2002</c:v>
                </c:pt>
                <c:pt idx="75">
                  <c:v>2003</c:v>
                </c:pt>
                <c:pt idx="76">
                  <c:v>2004</c:v>
                </c:pt>
                <c:pt idx="77">
                  <c:v>2005</c:v>
                </c:pt>
                <c:pt idx="78">
                  <c:v>2006</c:v>
                </c:pt>
                <c:pt idx="79">
                  <c:v>2007</c:v>
                </c:pt>
                <c:pt idx="80">
                  <c:v>2008</c:v>
                </c:pt>
                <c:pt idx="81">
                  <c:v>2009</c:v>
                </c:pt>
                <c:pt idx="82">
                  <c:v>2010</c:v>
                </c:pt>
                <c:pt idx="83">
                  <c:v>2011</c:v>
                </c:pt>
                <c:pt idx="84">
                  <c:v>2012</c:v>
                </c:pt>
                <c:pt idx="85">
                  <c:v>2013</c:v>
                </c:pt>
                <c:pt idx="86">
                  <c:v>2014</c:v>
                </c:pt>
                <c:pt idx="87">
                  <c:v>2015</c:v>
                </c:pt>
                <c:pt idx="88">
                  <c:v>2016</c:v>
                </c:pt>
                <c:pt idx="89">
                  <c:v>2017</c:v>
                </c:pt>
                <c:pt idx="90">
                  <c:v>2018</c:v>
                </c:pt>
                <c:pt idx="91">
                  <c:v>2019</c:v>
                </c:pt>
              </c:numCache>
            </c:numRef>
          </c:xVal>
          <c:yVal>
            <c:numRef>
              <c:f>'FLR-CAP'!$C$4:$C$95</c:f>
              <c:numCache>
                <c:formatCode>0.00%</c:formatCode>
                <c:ptCount val="92"/>
                <c:pt idx="0">
                  <c:v>0.43609999999999999</c:v>
                </c:pt>
                <c:pt idx="1">
                  <c:v>-8.4199999999999997E-2</c:v>
                </c:pt>
                <c:pt idx="2">
                  <c:v>-0.249</c:v>
                </c:pt>
                <c:pt idx="3">
                  <c:v>-0.43340000000000001</c:v>
                </c:pt>
                <c:pt idx="4">
                  <c:v>-8.1900000000000001E-2</c:v>
                </c:pt>
                <c:pt idx="5">
                  <c:v>0.53990000000000005</c:v>
                </c:pt>
                <c:pt idx="6">
                  <c:v>-1.44E-2</c:v>
                </c:pt>
                <c:pt idx="7">
                  <c:v>0.47670000000000001</c:v>
                </c:pt>
                <c:pt idx="8">
                  <c:v>0.3392</c:v>
                </c:pt>
                <c:pt idx="9">
                  <c:v>-0.3503</c:v>
                </c:pt>
                <c:pt idx="10">
                  <c:v>0.31120000000000003</c:v>
                </c:pt>
                <c:pt idx="11">
                  <c:v>-4.0999999999999995E-3</c:v>
                </c:pt>
                <c:pt idx="12">
                  <c:v>-9.7799999999999998E-2</c:v>
                </c:pt>
                <c:pt idx="13">
                  <c:v>-0.1159</c:v>
                </c:pt>
                <c:pt idx="14">
                  <c:v>0.2034</c:v>
                </c:pt>
                <c:pt idx="15">
                  <c:v>0.25900000000000001</c:v>
                </c:pt>
                <c:pt idx="16">
                  <c:v>0.19750000000000001</c:v>
                </c:pt>
                <c:pt idx="17">
                  <c:v>0.3644</c:v>
                </c:pt>
                <c:pt idx="18">
                  <c:v>-8.0700000000000008E-2</c:v>
                </c:pt>
                <c:pt idx="19">
                  <c:v>5.7099999999999998E-2</c:v>
                </c:pt>
                <c:pt idx="20">
                  <c:v>5.5E-2</c:v>
                </c:pt>
                <c:pt idx="21">
                  <c:v>0.18789999999999998</c:v>
                </c:pt>
                <c:pt idx="22">
                  <c:v>0.31709999999999999</c:v>
                </c:pt>
                <c:pt idx="23">
                  <c:v>0.2402</c:v>
                </c:pt>
                <c:pt idx="24">
                  <c:v>0.1837</c:v>
                </c:pt>
                <c:pt idx="25">
                  <c:v>-9.8999999999999991E-3</c:v>
                </c:pt>
                <c:pt idx="26">
                  <c:v>0.5262</c:v>
                </c:pt>
                <c:pt idx="27">
                  <c:v>0.31559999999999999</c:v>
                </c:pt>
                <c:pt idx="28">
                  <c:v>6.5599999999999992E-2</c:v>
                </c:pt>
                <c:pt idx="29">
                  <c:v>-0.10779999999999999</c:v>
                </c:pt>
                <c:pt idx="30">
                  <c:v>0.43359999999999999</c:v>
                </c:pt>
                <c:pt idx="31">
                  <c:v>0.11960000000000001</c:v>
                </c:pt>
                <c:pt idx="32">
                  <c:v>4.6999999999999993E-3</c:v>
                </c:pt>
                <c:pt idx="33">
                  <c:v>0.26890000000000003</c:v>
                </c:pt>
                <c:pt idx="34">
                  <c:v>-8.7300000000000003E-2</c:v>
                </c:pt>
                <c:pt idx="35">
                  <c:v>0.22800000000000001</c:v>
                </c:pt>
                <c:pt idx="36">
                  <c:v>0.1648</c:v>
                </c:pt>
                <c:pt idx="37">
                  <c:v>0.1245</c:v>
                </c:pt>
                <c:pt idx="38">
                  <c:v>-0.10060000000000001</c:v>
                </c:pt>
                <c:pt idx="39">
                  <c:v>0.23980000000000001</c:v>
                </c:pt>
                <c:pt idx="40">
                  <c:v>0.1106</c:v>
                </c:pt>
                <c:pt idx="41">
                  <c:v>-8.5000000000000006E-2</c:v>
                </c:pt>
                <c:pt idx="42">
                  <c:v>4.0099999999999997E-2</c:v>
                </c:pt>
                <c:pt idx="43">
                  <c:v>0.1431</c:v>
                </c:pt>
                <c:pt idx="44">
                  <c:v>0.1898</c:v>
                </c:pt>
                <c:pt idx="45">
                  <c:v>-0.14660000000000001</c:v>
                </c:pt>
                <c:pt idx="46">
                  <c:v>-0.26469999999999999</c:v>
                </c:pt>
                <c:pt idx="47">
                  <c:v>0.37200000000000005</c:v>
                </c:pt>
                <c:pt idx="48">
                  <c:v>0.2384</c:v>
                </c:pt>
                <c:pt idx="49">
                  <c:v>-7.1800000000000003E-2</c:v>
                </c:pt>
                <c:pt idx="50">
                  <c:v>6.5599999999999992E-2</c:v>
                </c:pt>
                <c:pt idx="51">
                  <c:v>0.18440000000000001</c:v>
                </c:pt>
                <c:pt idx="52">
                  <c:v>0.32420000000000004</c:v>
                </c:pt>
                <c:pt idx="53">
                  <c:v>-4.9100000000000005E-2</c:v>
                </c:pt>
                <c:pt idx="54">
                  <c:v>0.2155</c:v>
                </c:pt>
                <c:pt idx="55">
                  <c:v>0.22559999999999999</c:v>
                </c:pt>
                <c:pt idx="56">
                  <c:v>6.2699999999999992E-2</c:v>
                </c:pt>
                <c:pt idx="57">
                  <c:v>0.31730000000000003</c:v>
                </c:pt>
                <c:pt idx="58">
                  <c:v>0.1867</c:v>
                </c:pt>
                <c:pt idx="59">
                  <c:v>5.2499999999999998E-2</c:v>
                </c:pt>
                <c:pt idx="60">
                  <c:v>0.1661</c:v>
                </c:pt>
                <c:pt idx="61">
                  <c:v>0.31690000000000002</c:v>
                </c:pt>
                <c:pt idx="62">
                  <c:v>-3.1E-2</c:v>
                </c:pt>
                <c:pt idx="63">
                  <c:v>0.30469999999999997</c:v>
                </c:pt>
                <c:pt idx="64">
                  <c:v>7.6200000000000004E-2</c:v>
                </c:pt>
                <c:pt idx="65">
                  <c:v>0.1008</c:v>
                </c:pt>
                <c:pt idx="66">
                  <c:v>1.32E-2</c:v>
                </c:pt>
                <c:pt idx="67">
                  <c:v>0.37579999999999997</c:v>
                </c:pt>
                <c:pt idx="68">
                  <c:v>0.2296</c:v>
                </c:pt>
                <c:pt idx="69">
                  <c:v>0.33360000000000001</c:v>
                </c:pt>
                <c:pt idx="70">
                  <c:v>0.2858</c:v>
                </c:pt>
                <c:pt idx="71">
                  <c:v>0.2104</c:v>
                </c:pt>
                <c:pt idx="72">
                  <c:v>-9.0999999999999998E-2</c:v>
                </c:pt>
                <c:pt idx="73">
                  <c:v>-0.11890000000000001</c:v>
                </c:pt>
                <c:pt idx="74">
                  <c:v>-0.221</c:v>
                </c:pt>
                <c:pt idx="75">
                  <c:v>0.2868</c:v>
                </c:pt>
                <c:pt idx="76">
                  <c:v>0.10880000000000001</c:v>
                </c:pt>
                <c:pt idx="77">
                  <c:v>4.9100000000000005E-2</c:v>
                </c:pt>
                <c:pt idx="78">
                  <c:v>0.15789999999999998</c:v>
                </c:pt>
                <c:pt idx="79">
                  <c:v>5.4900000000000004E-2</c:v>
                </c:pt>
                <c:pt idx="80">
                  <c:v>-0.37</c:v>
                </c:pt>
                <c:pt idx="81">
                  <c:v>0.2646</c:v>
                </c:pt>
                <c:pt idx="82">
                  <c:v>0.15060000000000001</c:v>
                </c:pt>
                <c:pt idx="83">
                  <c:v>2.1099999999999997E-2</c:v>
                </c:pt>
                <c:pt idx="84">
                  <c:v>0.16</c:v>
                </c:pt>
                <c:pt idx="85">
                  <c:v>0.32390000000000002</c:v>
                </c:pt>
                <c:pt idx="86">
                  <c:v>0.13689999999999999</c:v>
                </c:pt>
                <c:pt idx="87">
                  <c:v>1.38E-2</c:v>
                </c:pt>
                <c:pt idx="88">
                  <c:v>0.11960000000000001</c:v>
                </c:pt>
                <c:pt idx="89">
                  <c:v>0.21829999999999999</c:v>
                </c:pt>
                <c:pt idx="90">
                  <c:v>-4.3799999999999999E-2</c:v>
                </c:pt>
                <c:pt idx="91">
                  <c:v>0.31489999999999996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51776"/>
        <c:axId val="172852352"/>
      </c:scatterChart>
      <c:valAx>
        <c:axId val="172851776"/>
        <c:scaling>
          <c:orientation val="minMax"/>
          <c:max val="2020"/>
          <c:min val="19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accent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52352"/>
        <c:crosses val="autoZero"/>
        <c:crossBetween val="midCat"/>
      </c:valAx>
      <c:valAx>
        <c:axId val="1728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51776"/>
        <c:crosses val="autoZero"/>
        <c:crossBetween val="midCat"/>
        <c:majorUnit val="0.1500000000000000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1923960749719"/>
          <c:y val="0.10362286019557289"/>
          <c:w val="0.83469721886423953"/>
          <c:h val="0.804003786031170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dPt>
            <c:idx val="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2"/>
            <c:marker>
              <c:spPr>
                <a:solidFill>
                  <a:srgbClr val="FF0000"/>
                </a:solidFill>
              </c:spPr>
            </c:marker>
            <c:bubble3D val="0"/>
          </c:dPt>
          <c:xVal>
            <c:numRef>
              <c:f>'FLR-CAP'!$G$23:$G$96</c:f>
              <c:numCache>
                <c:formatCode>0.00%</c:formatCode>
                <c:ptCount val="74"/>
                <c:pt idx="0">
                  <c:v>4.7098506307902133E-2</c:v>
                </c:pt>
                <c:pt idx="1">
                  <c:v>3.107659564318066E-2</c:v>
                </c:pt>
                <c:pt idx="2">
                  <c:v>4.4575633821567928E-2</c:v>
                </c:pt>
                <c:pt idx="3">
                  <c:v>7.4332791438821877E-2</c:v>
                </c:pt>
                <c:pt idx="4">
                  <c:v>0.11724800946323621</c:v>
                </c:pt>
                <c:pt idx="5">
                  <c:v>0.13153286544850773</c:v>
                </c:pt>
                <c:pt idx="6">
                  <c:v>0.10681872958843464</c:v>
                </c:pt>
                <c:pt idx="7">
                  <c:v>0.13128502251192242</c:v>
                </c:pt>
                <c:pt idx="8">
                  <c:v>0.12476972185652735</c:v>
                </c:pt>
                <c:pt idx="9">
                  <c:v>0.11199044484217091</c:v>
                </c:pt>
                <c:pt idx="10">
                  <c:v>0.12976605832953036</c:v>
                </c:pt>
                <c:pt idx="11">
                  <c:v>0.1348186790196233</c:v>
                </c:pt>
                <c:pt idx="12">
                  <c:v>0.14148138497050655</c:v>
                </c:pt>
                <c:pt idx="13">
                  <c:v>0.14763956578535287</c:v>
                </c:pt>
                <c:pt idx="14">
                  <c:v>0.16856214331932584</c:v>
                </c:pt>
                <c:pt idx="15">
                  <c:v>0.15251799488499129</c:v>
                </c:pt>
                <c:pt idx="16">
                  <c:v>0.15108222294496865</c:v>
                </c:pt>
                <c:pt idx="17">
                  <c:v>0.14948984475233695</c:v>
                </c:pt>
                <c:pt idx="18">
                  <c:v>0.13842919912785834</c:v>
                </c:pt>
                <c:pt idx="19">
                  <c:v>0.13718417496253932</c:v>
                </c:pt>
                <c:pt idx="20">
                  <c:v>0.14628493667701759</c:v>
                </c:pt>
                <c:pt idx="21">
                  <c:v>0.14923235877125096</c:v>
                </c:pt>
                <c:pt idx="22">
                  <c:v>0.13433127534237443</c:v>
                </c:pt>
                <c:pt idx="23">
                  <c:v>0.12101835551990692</c:v>
                </c:pt>
                <c:pt idx="24">
                  <c:v>0.11645789372806425</c:v>
                </c:pt>
                <c:pt idx="25">
                  <c:v>0.11674486585259447</c:v>
                </c:pt>
                <c:pt idx="26">
                  <c:v>0.10847944294251111</c:v>
                </c:pt>
                <c:pt idx="27">
                  <c:v>6.873565684970262E-2</c:v>
                </c:pt>
                <c:pt idx="28">
                  <c:v>7.0981111925096485E-2</c:v>
                </c:pt>
                <c:pt idx="29">
                  <c:v>7.9058892631150846E-2</c:v>
                </c:pt>
                <c:pt idx="30">
                  <c:v>8.1195216050648611E-2</c:v>
                </c:pt>
                <c:pt idx="31">
                  <c:v>6.5276695738454293E-2</c:v>
                </c:pt>
                <c:pt idx="32">
                  <c:v>6.827779623678909E-2</c:v>
                </c:pt>
                <c:pt idx="33">
                  <c:v>8.3128693207903837E-2</c:v>
                </c:pt>
                <c:pt idx="34">
                  <c:v>6.7616884026295843E-2</c:v>
                </c:pt>
                <c:pt idx="35">
                  <c:v>8.3020753784789569E-2</c:v>
                </c:pt>
                <c:pt idx="36">
                  <c:v>8.2914822764300622E-2</c:v>
                </c:pt>
                <c:pt idx="37">
                  <c:v>7.795905310442186E-2</c:v>
                </c:pt>
                <c:pt idx="38">
                  <c:v>8.6522003651040125E-2</c:v>
                </c:pt>
                <c:pt idx="39">
                  <c:v>0.10168624924686043</c:v>
                </c:pt>
                <c:pt idx="40">
                  <c:v>9.2701281530914725E-2</c:v>
                </c:pt>
                <c:pt idx="41">
                  <c:v>9.5368780365850059E-2</c:v>
                </c:pt>
                <c:pt idx="42">
                  <c:v>0.11549324296031527</c:v>
                </c:pt>
                <c:pt idx="43">
                  <c:v>0.11155095962806594</c:v>
                </c:pt>
                <c:pt idx="44">
                  <c:v>0.11892428500362984</c:v>
                </c:pt>
                <c:pt idx="45">
                  <c:v>0.11332420431165513</c:v>
                </c:pt>
                <c:pt idx="46">
                  <c:v>0.12758538992832014</c:v>
                </c:pt>
                <c:pt idx="47">
                  <c:v>0.14580568013653927</c:v>
                </c:pt>
                <c:pt idx="48">
                  <c:v>0.14596414747191289</c:v>
                </c:pt>
                <c:pt idx="49">
                  <c:v>0.1455556089973713</c:v>
                </c:pt>
                <c:pt idx="50">
                  <c:v>0.16650170320347879</c:v>
                </c:pt>
                <c:pt idx="51">
                  <c:v>0.17750927786896997</c:v>
                </c:pt>
                <c:pt idx="52">
                  <c:v>0.17878842730871547</c:v>
                </c:pt>
                <c:pt idx="53">
                  <c:v>0.15682157179796041</c:v>
                </c:pt>
                <c:pt idx="54">
                  <c:v>0.15242029043522298</c:v>
                </c:pt>
                <c:pt idx="55">
                  <c:v>0.12706774457782255</c:v>
                </c:pt>
                <c:pt idx="56">
                  <c:v>0.12981708010690873</c:v>
                </c:pt>
                <c:pt idx="57">
                  <c:v>0.13221854161578839</c:v>
                </c:pt>
                <c:pt idx="58">
                  <c:v>0.11940404659593207</c:v>
                </c:pt>
                <c:pt idx="59">
                  <c:v>0.11802979666417146</c:v>
                </c:pt>
                <c:pt idx="60">
                  <c:v>0.11815713013049756</c:v>
                </c:pt>
                <c:pt idx="61">
                  <c:v>8.4259098522922571E-2</c:v>
                </c:pt>
                <c:pt idx="62">
                  <c:v>8.2064363229263693E-2</c:v>
                </c:pt>
                <c:pt idx="63">
                  <c:v>9.1397925181254225E-2</c:v>
                </c:pt>
                <c:pt idx="64">
                  <c:v>7.8104861765480704E-2</c:v>
                </c:pt>
                <c:pt idx="65">
                  <c:v>8.2154462249124149E-2</c:v>
                </c:pt>
                <c:pt idx="66">
                  <c:v>9.2185968187746603E-2</c:v>
                </c:pt>
                <c:pt idx="67">
                  <c:v>9.8494652041895669E-2</c:v>
                </c:pt>
                <c:pt idx="68">
                  <c:v>8.1851859818420136E-2</c:v>
                </c:pt>
                <c:pt idx="69">
                  <c:v>7.6794299566897983E-2</c:v>
                </c:pt>
                <c:pt idx="70">
                  <c:v>7.1936799935017559E-2</c:v>
                </c:pt>
                <c:pt idx="71">
                  <c:v>5.6180017476190836E-2</c:v>
                </c:pt>
                <c:pt idx="72">
                  <c:v>6.0562182658992159E-2</c:v>
                </c:pt>
                <c:pt idx="73">
                  <c:v>7.4670996097283115E-2</c:v>
                </c:pt>
              </c:numCache>
            </c:numRef>
          </c:xVal>
          <c:yVal>
            <c:numRef>
              <c:f>'FLR-CAP'!$R$23:$R$96</c:f>
              <c:numCache>
                <c:formatCode>0.00%</c:formatCode>
                <c:ptCount val="74"/>
                <c:pt idx="0">
                  <c:v>6.7530391779547783E-2</c:v>
                </c:pt>
                <c:pt idx="1">
                  <c:v>6.0492517527657608E-2</c:v>
                </c:pt>
                <c:pt idx="2">
                  <c:v>6.5382620347418374E-2</c:v>
                </c:pt>
                <c:pt idx="3">
                  <c:v>7.2452947377763532E-2</c:v>
                </c:pt>
                <c:pt idx="4">
                  <c:v>7.9570196071144128E-2</c:v>
                </c:pt>
                <c:pt idx="5">
                  <c:v>8.5192638216681216E-2</c:v>
                </c:pt>
                <c:pt idx="6">
                  <c:v>7.8038322624677914E-2</c:v>
                </c:pt>
                <c:pt idx="7">
                  <c:v>8.5192638216681216E-2</c:v>
                </c:pt>
                <c:pt idx="8">
                  <c:v>8.5192638216681216E-2</c:v>
                </c:pt>
                <c:pt idx="9">
                  <c:v>7.9030069513933654E-2</c:v>
                </c:pt>
                <c:pt idx="10">
                  <c:v>7.9030069513933654E-2</c:v>
                </c:pt>
                <c:pt idx="11">
                  <c:v>7.9030069513933654E-2</c:v>
                </c:pt>
                <c:pt idx="12">
                  <c:v>8.3025739948781929E-2</c:v>
                </c:pt>
                <c:pt idx="13">
                  <c:v>8.3025739948781929E-2</c:v>
                </c:pt>
                <c:pt idx="14">
                  <c:v>9.0213154139209051E-2</c:v>
                </c:pt>
                <c:pt idx="15">
                  <c:v>8.4250322454787696E-2</c:v>
                </c:pt>
                <c:pt idx="16">
                  <c:v>8.4250322454787696E-2</c:v>
                </c:pt>
                <c:pt idx="17">
                  <c:v>8.3853547258001759E-2</c:v>
                </c:pt>
                <c:pt idx="18">
                  <c:v>8.0983303310182553E-2</c:v>
                </c:pt>
                <c:pt idx="19">
                  <c:v>8.0983303310182553E-2</c:v>
                </c:pt>
                <c:pt idx="20">
                  <c:v>8.815716303229193E-2</c:v>
                </c:pt>
                <c:pt idx="21">
                  <c:v>9.177235004334694E-2</c:v>
                </c:pt>
                <c:pt idx="22">
                  <c:v>8.6761118448689389E-2</c:v>
                </c:pt>
                <c:pt idx="23">
                  <c:v>7.9596462386077871E-2</c:v>
                </c:pt>
                <c:pt idx="24">
                  <c:v>7.7585127841924395E-2</c:v>
                </c:pt>
                <c:pt idx="25">
                  <c:v>7.9116357306596052E-2</c:v>
                </c:pt>
                <c:pt idx="26">
                  <c:v>7.9116357306596052E-2</c:v>
                </c:pt>
                <c:pt idx="27">
                  <c:v>7.2002100621855192E-2</c:v>
                </c:pt>
                <c:pt idx="28">
                  <c:v>7.2002100621855192E-2</c:v>
                </c:pt>
                <c:pt idx="29">
                  <c:v>7.8124531109402096E-2</c:v>
                </c:pt>
                <c:pt idx="30">
                  <c:v>7.8124531109402096E-2</c:v>
                </c:pt>
                <c:pt idx="31">
                  <c:v>7.118134468385362E-2</c:v>
                </c:pt>
                <c:pt idx="32">
                  <c:v>7.3041300876093951E-2</c:v>
                </c:pt>
                <c:pt idx="33">
                  <c:v>8.0162454130674687E-2</c:v>
                </c:pt>
                <c:pt idx="34">
                  <c:v>7.3041300876093951E-2</c:v>
                </c:pt>
                <c:pt idx="35">
                  <c:v>8.0049629642469977E-2</c:v>
                </c:pt>
                <c:pt idx="36">
                  <c:v>8.0049629642469977E-2</c:v>
                </c:pt>
                <c:pt idx="37">
                  <c:v>7.4230437549470452E-2</c:v>
                </c:pt>
                <c:pt idx="38">
                  <c:v>7.7082751181418052E-2</c:v>
                </c:pt>
                <c:pt idx="39">
                  <c:v>8.4051309660044593E-2</c:v>
                </c:pt>
                <c:pt idx="40">
                  <c:v>7.7584512180473242E-2</c:v>
                </c:pt>
                <c:pt idx="41">
                  <c:v>7.9908445345553636E-2</c:v>
                </c:pt>
                <c:pt idx="42">
                  <c:v>8.7075171858263856E-2</c:v>
                </c:pt>
                <c:pt idx="43">
                  <c:v>8.7075171858263856E-2</c:v>
                </c:pt>
                <c:pt idx="44">
                  <c:v>8.9104219762468739E-2</c:v>
                </c:pt>
                <c:pt idx="45">
                  <c:v>8.388211419941749E-2</c:v>
                </c:pt>
                <c:pt idx="46">
                  <c:v>8.7179260463205566E-2</c:v>
                </c:pt>
                <c:pt idx="47">
                  <c:v>8.7179260463205566E-2</c:v>
                </c:pt>
                <c:pt idx="48">
                  <c:v>8.7179260463205566E-2</c:v>
                </c:pt>
                <c:pt idx="49">
                  <c:v>8.7179260463205566E-2</c:v>
                </c:pt>
                <c:pt idx="50">
                  <c:v>9.4394239162198135E-2</c:v>
                </c:pt>
                <c:pt idx="51">
                  <c:v>0.10148788699620903</c:v>
                </c:pt>
                <c:pt idx="52">
                  <c:v>0.10279222680457156</c:v>
                </c:pt>
                <c:pt idx="53">
                  <c:v>9.5521882954899606E-2</c:v>
                </c:pt>
                <c:pt idx="54">
                  <c:v>9.5521882954899606E-2</c:v>
                </c:pt>
                <c:pt idx="55">
                  <c:v>8.8413156359577583E-2</c:v>
                </c:pt>
                <c:pt idx="56">
                  <c:v>8.8413156359577583E-2</c:v>
                </c:pt>
                <c:pt idx="57">
                  <c:v>9.2348502443089231E-2</c:v>
                </c:pt>
                <c:pt idx="58">
                  <c:v>8.6346043122386806E-2</c:v>
                </c:pt>
                <c:pt idx="59">
                  <c:v>8.587017778638284E-2</c:v>
                </c:pt>
                <c:pt idx="60">
                  <c:v>8.6662855653959703E-2</c:v>
                </c:pt>
                <c:pt idx="61">
                  <c:v>8.0733862621081176E-2</c:v>
                </c:pt>
                <c:pt idx="62">
                  <c:v>8.0733862621081176E-2</c:v>
                </c:pt>
                <c:pt idx="63">
                  <c:v>8.6846249881282978E-2</c:v>
                </c:pt>
                <c:pt idx="64">
                  <c:v>7.9681032575336097E-2</c:v>
                </c:pt>
                <c:pt idx="65">
                  <c:v>8.4127943051104603E-2</c:v>
                </c:pt>
                <c:pt idx="66">
                  <c:v>8.8012959717052253E-2</c:v>
                </c:pt>
                <c:pt idx="67">
                  <c:v>9.3488263018227657E-2</c:v>
                </c:pt>
                <c:pt idx="68">
                  <c:v>8.6279257119846298E-2</c:v>
                </c:pt>
                <c:pt idx="69">
                  <c:v>8.3640508556555249E-2</c:v>
                </c:pt>
                <c:pt idx="70">
                  <c:v>8.3640508556555249E-2</c:v>
                </c:pt>
                <c:pt idx="71">
                  <c:v>7.6496425641255694E-2</c:v>
                </c:pt>
                <c:pt idx="72">
                  <c:v>7.6496425641255694E-2</c:v>
                </c:pt>
                <c:pt idx="73">
                  <c:v>8.3640508556555249E-2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54080"/>
        <c:axId val="172854656"/>
      </c:scatterChart>
      <c:valAx>
        <c:axId val="172854080"/>
        <c:scaling>
          <c:orientation val="minMax"/>
          <c:max val="0.2"/>
          <c:min val="2.0000000000000004E-2"/>
        </c:scaling>
        <c:delete val="0"/>
        <c:axPos val="b"/>
        <c:numFmt formatCode="0.00%" sourceLinked="1"/>
        <c:majorTickMark val="out"/>
        <c:minorTickMark val="none"/>
        <c:tickLblPos val="nextTo"/>
        <c:crossAx val="172854656"/>
        <c:crosses val="autoZero"/>
        <c:crossBetween val="midCat"/>
      </c:valAx>
      <c:valAx>
        <c:axId val="172854656"/>
        <c:scaling>
          <c:orientation val="minMax"/>
          <c:max val="0.11000000000000001"/>
          <c:min val="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2854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747007765108203"/>
          <c:y val="0.10362286019557289"/>
          <c:w val="0.79264638082065464"/>
          <c:h val="0.800316470396952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dPt>
            <c:idx val="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2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9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7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8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4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4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7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72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73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74"/>
            <c:marker>
              <c:spPr>
                <a:solidFill>
                  <a:srgbClr val="FF0000"/>
                </a:solidFill>
              </c:spPr>
            </c:marker>
            <c:bubble3D val="0"/>
          </c:dPt>
          <c:xVal>
            <c:numRef>
              <c:f>'FLR-CAP'!$F$13:$F$96</c:f>
              <c:numCache>
                <c:formatCode>0.00%</c:formatCode>
                <c:ptCount val="84"/>
                <c:pt idx="0">
                  <c:v>1.924253007183907E-4</c:v>
                </c:pt>
                <c:pt idx="1">
                  <c:v>-8.8668842237337175E-3</c:v>
                </c:pt>
                <c:pt idx="2">
                  <c:v>-5.214079225100976E-4</c:v>
                </c:pt>
                <c:pt idx="3">
                  <c:v>1.7981264177425071E-2</c:v>
                </c:pt>
                <c:pt idx="4">
                  <c:v>6.4295600676934184E-2</c:v>
                </c:pt>
                <c:pt idx="5">
                  <c:v>9.3488623229013745E-2</c:v>
                </c:pt>
                <c:pt idx="6">
                  <c:v>7.168608077309746E-2</c:v>
                </c:pt>
                <c:pt idx="7">
                  <c:v>9.2760712885721741E-2</c:v>
                </c:pt>
                <c:pt idx="8">
                  <c:v>8.4151603234926098E-2</c:v>
                </c:pt>
                <c:pt idx="9">
                  <c:v>4.4121883960695829E-2</c:v>
                </c:pt>
                <c:pt idx="10">
                  <c:v>9.620434446160786E-2</c:v>
                </c:pt>
                <c:pt idx="11">
                  <c:v>7.2629830606037782E-2</c:v>
                </c:pt>
                <c:pt idx="12">
                  <c:v>9.170747970271087E-2</c:v>
                </c:pt>
                <c:pt idx="13">
                  <c:v>0.13380372250109085</c:v>
                </c:pt>
                <c:pt idx="14">
                  <c:v>0.17283498480650605</c:v>
                </c:pt>
                <c:pt idx="15">
                  <c:v>0.1709007285409665</c:v>
                </c:pt>
                <c:pt idx="16">
                  <c:v>0.14310311773763673</c:v>
                </c:pt>
                <c:pt idx="17">
                  <c:v>0.17116747250195097</c:v>
                </c:pt>
                <c:pt idx="18">
                  <c:v>0.16690961248440139</c:v>
                </c:pt>
                <c:pt idx="19">
                  <c:v>0.18427050367889408</c:v>
                </c:pt>
                <c:pt idx="20">
                  <c:v>0.16435530747720506</c:v>
                </c:pt>
                <c:pt idx="21">
                  <c:v>0.20061310762187712</c:v>
                </c:pt>
                <c:pt idx="22">
                  <c:v>0.19352461759170825</c:v>
                </c:pt>
                <c:pt idx="23">
                  <c:v>0.16164424831011814</c:v>
                </c:pt>
                <c:pt idx="24">
                  <c:v>0.16430486853557014</c:v>
                </c:pt>
                <c:pt idx="25">
                  <c:v>0.13442386374537763</c:v>
                </c:pt>
                <c:pt idx="26">
                  <c:v>0.15911702401991024</c:v>
                </c:pt>
                <c:pt idx="27">
                  <c:v>0.12821345726586553</c:v>
                </c:pt>
                <c:pt idx="28">
                  <c:v>0.11064389868861535</c:v>
                </c:pt>
                <c:pt idx="29">
                  <c:v>9.1969988079572351E-2</c:v>
                </c:pt>
                <c:pt idx="30">
                  <c:v>0.12849501145796793</c:v>
                </c:pt>
                <c:pt idx="31">
                  <c:v>0.1000504709322958</c:v>
                </c:pt>
                <c:pt idx="32">
                  <c:v>7.8073651146109979E-2</c:v>
                </c:pt>
                <c:pt idx="33">
                  <c:v>8.1813261883483701E-2</c:v>
                </c:pt>
                <c:pt idx="34">
                  <c:v>7.057718485321729E-2</c:v>
                </c:pt>
                <c:pt idx="35">
                  <c:v>9.9341379588649081E-2</c:v>
                </c:pt>
                <c:pt idx="36">
                  <c:v>6.0054032477944164E-2</c:v>
                </c:pt>
                <c:pt idx="37">
                  <c:v>1.2393441033742736E-2</c:v>
                </c:pt>
                <c:pt idx="38">
                  <c:v>3.2734743741561712E-2</c:v>
                </c:pt>
                <c:pt idx="39">
                  <c:v>6.6300453746094723E-2</c:v>
                </c:pt>
                <c:pt idx="40">
                  <c:v>3.5877946594138566E-2</c:v>
                </c:pt>
                <c:pt idx="41">
                  <c:v>3.1602156873476117E-2</c:v>
                </c:pt>
                <c:pt idx="42">
                  <c:v>5.8570950805904687E-2</c:v>
                </c:pt>
                <c:pt idx="43">
                  <c:v>8.4445724031636971E-2</c:v>
                </c:pt>
                <c:pt idx="44">
                  <c:v>6.4664768859511446E-2</c:v>
                </c:pt>
                <c:pt idx="45">
                  <c:v>6.6942421077119674E-2</c:v>
                </c:pt>
                <c:pt idx="46">
                  <c:v>0.10626862162994155</c:v>
                </c:pt>
                <c:pt idx="47">
                  <c:v>0.14777088933259197</c:v>
                </c:pt>
                <c:pt idx="48">
                  <c:v>0.14311063084878128</c:v>
                </c:pt>
                <c:pt idx="49">
                  <c:v>0.13824634277856362</c:v>
                </c:pt>
                <c:pt idx="50">
                  <c:v>0.15264167422913189</c:v>
                </c:pt>
                <c:pt idx="51">
                  <c:v>0.16307702247982703</c:v>
                </c:pt>
                <c:pt idx="52">
                  <c:v>0.17547640443259738</c:v>
                </c:pt>
                <c:pt idx="53">
                  <c:v>0.13933367845897737</c:v>
                </c:pt>
                <c:pt idx="54">
                  <c:v>0.17594908011471144</c:v>
                </c:pt>
                <c:pt idx="55">
                  <c:v>0.16172228174681269</c:v>
                </c:pt>
                <c:pt idx="56">
                  <c:v>0.14931291254242507</c:v>
                </c:pt>
                <c:pt idx="57">
                  <c:v>0.14384383576461679</c:v>
                </c:pt>
                <c:pt idx="58">
                  <c:v>0.14882478725259296</c:v>
                </c:pt>
                <c:pt idx="59">
                  <c:v>0.1529118117804793</c:v>
                </c:pt>
                <c:pt idx="60">
                  <c:v>0.1805283931683701</c:v>
                </c:pt>
                <c:pt idx="61">
                  <c:v>0.19212061855649942</c:v>
                </c:pt>
                <c:pt idx="62">
                  <c:v>0.18210978214206408</c:v>
                </c:pt>
                <c:pt idx="63">
                  <c:v>0.17457789081347519</c:v>
                </c:pt>
                <c:pt idx="64">
                  <c:v>0.12936227279267332</c:v>
                </c:pt>
                <c:pt idx="65">
                  <c:v>9.3446963036374786E-2</c:v>
                </c:pt>
                <c:pt idx="66">
                  <c:v>0.11065195611311096</c:v>
                </c:pt>
                <c:pt idx="67">
                  <c:v>0.12071139949070742</c:v>
                </c:pt>
                <c:pt idx="68">
                  <c:v>9.073675415033966E-2</c:v>
                </c:pt>
                <c:pt idx="69">
                  <c:v>8.4203157133525552E-2</c:v>
                </c:pt>
                <c:pt idx="70">
                  <c:v>5.9081149506374553E-2</c:v>
                </c:pt>
                <c:pt idx="71">
                  <c:v>-1.3843251739694917E-2</c:v>
                </c:pt>
                <c:pt idx="72">
                  <c:v>-9.5139183696903995E-3</c:v>
                </c:pt>
                <c:pt idx="73">
                  <c:v>1.4108506899439766E-2</c:v>
                </c:pt>
                <c:pt idx="74">
                  <c:v>2.9173827533852448E-2</c:v>
                </c:pt>
                <c:pt idx="75">
                  <c:v>7.0978584012706847E-2</c:v>
                </c:pt>
                <c:pt idx="76">
                  <c:v>7.4027000574355517E-2</c:v>
                </c:pt>
                <c:pt idx="77">
                  <c:v>7.6718324729283749E-2</c:v>
                </c:pt>
                <c:pt idx="78">
                  <c:v>7.3039339821544313E-2</c:v>
                </c:pt>
                <c:pt idx="79">
                  <c:v>6.9436070122944171E-2</c:v>
                </c:pt>
                <c:pt idx="80">
                  <c:v>8.4948498602287481E-2</c:v>
                </c:pt>
                <c:pt idx="81">
                  <c:v>0.13117537479098207</c:v>
                </c:pt>
                <c:pt idx="82">
                  <c:v>0.1355961119968816</c:v>
                </c:pt>
                <c:pt idx="83">
                  <c:v>0.13885027291980845</c:v>
                </c:pt>
              </c:numCache>
            </c:numRef>
          </c:xVal>
          <c:yVal>
            <c:numRef>
              <c:f>'FLR-CAP'!$Q$13:$Q$96</c:f>
              <c:numCache>
                <c:formatCode>0.00%</c:formatCode>
                <c:ptCount val="84"/>
                <c:pt idx="0">
                  <c:v>6.2248604034988553E-2</c:v>
                </c:pt>
                <c:pt idx="1">
                  <c:v>6.2248604034988553E-2</c:v>
                </c:pt>
                <c:pt idx="2">
                  <c:v>6.2248604034988553E-2</c:v>
                </c:pt>
                <c:pt idx="3">
                  <c:v>6.2248604034988553E-2</c:v>
                </c:pt>
                <c:pt idx="4">
                  <c:v>6.2248604034988553E-2</c:v>
                </c:pt>
                <c:pt idx="5">
                  <c:v>7.396439776945174E-2</c:v>
                </c:pt>
                <c:pt idx="6">
                  <c:v>7.396439776945174E-2</c:v>
                </c:pt>
                <c:pt idx="7">
                  <c:v>8.7125306031735184E-2</c:v>
                </c:pt>
                <c:pt idx="8">
                  <c:v>8.7125306031735184E-2</c:v>
                </c:pt>
                <c:pt idx="9">
                  <c:v>7.2838442003221981E-2</c:v>
                </c:pt>
                <c:pt idx="10">
                  <c:v>7.2838442003221981E-2</c:v>
                </c:pt>
                <c:pt idx="11">
                  <c:v>5.8739334144707556E-2</c:v>
                </c:pt>
                <c:pt idx="12">
                  <c:v>6.8525883137753096E-2</c:v>
                </c:pt>
                <c:pt idx="13">
                  <c:v>8.2755317324350042E-2</c:v>
                </c:pt>
                <c:pt idx="14">
                  <c:v>9.7174243221410661E-2</c:v>
                </c:pt>
                <c:pt idx="15">
                  <c:v>9.653826931838938E-2</c:v>
                </c:pt>
                <c:pt idx="16">
                  <c:v>8.212770131036673E-2</c:v>
                </c:pt>
                <c:pt idx="17">
                  <c:v>8.326340625659534E-2</c:v>
                </c:pt>
                <c:pt idx="18">
                  <c:v>8.326340625659534E-2</c:v>
                </c:pt>
                <c:pt idx="19">
                  <c:v>8.5257430504851239E-2</c:v>
                </c:pt>
                <c:pt idx="20">
                  <c:v>8.5257430504851239E-2</c:v>
                </c:pt>
                <c:pt idx="21">
                  <c:v>9.9709676750432408E-2</c:v>
                </c:pt>
                <c:pt idx="22">
                  <c:v>9.772235928176598E-2</c:v>
                </c:pt>
                <c:pt idx="23">
                  <c:v>8.3296230112384517E-2</c:v>
                </c:pt>
                <c:pt idx="24">
                  <c:v>8.3296230112384517E-2</c:v>
                </c:pt>
                <c:pt idx="25">
                  <c:v>7.2100075881588621E-2</c:v>
                </c:pt>
                <c:pt idx="26">
                  <c:v>8.6377107174836043E-2</c:v>
                </c:pt>
                <c:pt idx="27">
                  <c:v>8.4444009756838412E-2</c:v>
                </c:pt>
                <c:pt idx="28">
                  <c:v>7.8707999629965331E-2</c:v>
                </c:pt>
                <c:pt idx="29">
                  <c:v>7.6726009138502693E-2</c:v>
                </c:pt>
                <c:pt idx="30">
                  <c:v>9.1064643443777848E-2</c:v>
                </c:pt>
                <c:pt idx="31">
                  <c:v>8.3892312234037814E-2</c:v>
                </c:pt>
                <c:pt idx="32">
                  <c:v>7.5909330429054123E-2</c:v>
                </c:pt>
                <c:pt idx="33">
                  <c:v>7.5909330429054123E-2</c:v>
                </c:pt>
                <c:pt idx="34">
                  <c:v>7.1904134315718515E-2</c:v>
                </c:pt>
                <c:pt idx="35">
                  <c:v>8.6178556278055041E-2</c:v>
                </c:pt>
                <c:pt idx="36">
                  <c:v>7.1904134315718515E-2</c:v>
                </c:pt>
                <c:pt idx="37">
                  <c:v>5.9702938462769639E-2</c:v>
                </c:pt>
                <c:pt idx="38">
                  <c:v>6.5337889523283676E-2</c:v>
                </c:pt>
                <c:pt idx="39">
                  <c:v>7.9524869571856893E-2</c:v>
                </c:pt>
                <c:pt idx="40">
                  <c:v>6.5337889523283676E-2</c:v>
                </c:pt>
                <c:pt idx="41">
                  <c:v>5.861944055467383E-2</c:v>
                </c:pt>
                <c:pt idx="42">
                  <c:v>7.0180916571003893E-2</c:v>
                </c:pt>
                <c:pt idx="43">
                  <c:v>8.4432390644220812E-2</c:v>
                </c:pt>
                <c:pt idx="44">
                  <c:v>7.4179673838931093E-2</c:v>
                </c:pt>
                <c:pt idx="45">
                  <c:v>7.3955286401564679E-2</c:v>
                </c:pt>
                <c:pt idx="46">
                  <c:v>8.8257023316278937E-2</c:v>
                </c:pt>
                <c:pt idx="47">
                  <c:v>8.8957094553030691E-2</c:v>
                </c:pt>
                <c:pt idx="48">
                  <c:v>8.8957094553030691E-2</c:v>
                </c:pt>
                <c:pt idx="49">
                  <c:v>8.8596729079277958E-2</c:v>
                </c:pt>
                <c:pt idx="50">
                  <c:v>8.9971916244184325E-2</c:v>
                </c:pt>
                <c:pt idx="51">
                  <c:v>0.10162557539809369</c:v>
                </c:pt>
                <c:pt idx="52">
                  <c:v>0.1042361258478568</c:v>
                </c:pt>
                <c:pt idx="53">
                  <c:v>8.9724393577593764E-2</c:v>
                </c:pt>
                <c:pt idx="54">
                  <c:v>0.1042361258478568</c:v>
                </c:pt>
                <c:pt idx="55">
                  <c:v>9.3900698061397003E-2</c:v>
                </c:pt>
                <c:pt idx="56">
                  <c:v>8.6102564980011564E-2</c:v>
                </c:pt>
                <c:pt idx="57">
                  <c:v>8.5404328869784329E-2</c:v>
                </c:pt>
                <c:pt idx="58">
                  <c:v>8.5404328869784329E-2</c:v>
                </c:pt>
                <c:pt idx="59">
                  <c:v>8.5763637541892201E-2</c:v>
                </c:pt>
                <c:pt idx="60">
                  <c:v>9.8834504689282676E-2</c:v>
                </c:pt>
                <c:pt idx="61">
                  <c:v>0.10135021580352532</c:v>
                </c:pt>
                <c:pt idx="62">
                  <c:v>0.10135021580352532</c:v>
                </c:pt>
                <c:pt idx="63">
                  <c:v>0.10135021580352532</c:v>
                </c:pt>
                <c:pt idx="64">
                  <c:v>8.6876409800062504E-2</c:v>
                </c:pt>
                <c:pt idx="65">
                  <c:v>8.29531428547714E-2</c:v>
                </c:pt>
                <c:pt idx="66">
                  <c:v>9.07286633269484E-2</c:v>
                </c:pt>
                <c:pt idx="67">
                  <c:v>9.9337103282191475E-2</c:v>
                </c:pt>
                <c:pt idx="68">
                  <c:v>8.7288574421420684E-2</c:v>
                </c:pt>
                <c:pt idx="69">
                  <c:v>8.5976728485104292E-2</c:v>
                </c:pt>
                <c:pt idx="70">
                  <c:v>7.4626030415675393E-2</c:v>
                </c:pt>
                <c:pt idx="71">
                  <c:v>6.0503430295095084E-2</c:v>
                </c:pt>
                <c:pt idx="72">
                  <c:v>6.0503430295095084E-2</c:v>
                </c:pt>
                <c:pt idx="73">
                  <c:v>7.253329043859158E-2</c:v>
                </c:pt>
                <c:pt idx="74">
                  <c:v>7.253329043859158E-2</c:v>
                </c:pt>
                <c:pt idx="75">
                  <c:v>8.5304017684388667E-2</c:v>
                </c:pt>
                <c:pt idx="76">
                  <c:v>8.5304017684388667E-2</c:v>
                </c:pt>
                <c:pt idx="77">
                  <c:v>8.767054053636314E-2</c:v>
                </c:pt>
                <c:pt idx="78">
                  <c:v>8.5270876755750402E-2</c:v>
                </c:pt>
                <c:pt idx="79">
                  <c:v>8.1309314447999714E-2</c:v>
                </c:pt>
                <c:pt idx="80">
                  <c:v>9.2730604460128818E-2</c:v>
                </c:pt>
                <c:pt idx="81">
                  <c:v>9.2730604460128818E-2</c:v>
                </c:pt>
                <c:pt idx="82">
                  <c:v>9.2730604460128818E-2</c:v>
                </c:pt>
                <c:pt idx="83">
                  <c:v>9.4862753681530965E-2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57536"/>
        <c:axId val="172858112"/>
      </c:scatterChart>
      <c:valAx>
        <c:axId val="172857536"/>
        <c:scaling>
          <c:orientation val="minMax"/>
          <c:max val="0.22000000000000003"/>
          <c:min val="-2.0000000000000004E-2"/>
        </c:scaling>
        <c:delete val="0"/>
        <c:axPos val="b"/>
        <c:numFmt formatCode="0.00%" sourceLinked="1"/>
        <c:majorTickMark val="out"/>
        <c:minorTickMark val="none"/>
        <c:tickLblPos val="nextTo"/>
        <c:crossAx val="172858112"/>
        <c:crosses val="autoZero"/>
        <c:crossBetween val="midCat"/>
        <c:majorUnit val="4.0000000000000008E-2"/>
      </c:valAx>
      <c:valAx>
        <c:axId val="172858112"/>
        <c:scaling>
          <c:orientation val="minMax"/>
          <c:max val="0.11000000000000001"/>
          <c:min val="4.0000000000000008E-2"/>
        </c:scaling>
        <c:delete val="0"/>
        <c:axPos val="l"/>
        <c:majorGridlines/>
        <c:numFmt formatCode="0.00%" sourceLinked="1"/>
        <c:majorTickMark val="none"/>
        <c:minorTickMark val="none"/>
        <c:tickLblPos val="low"/>
        <c:crossAx val="172857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5116664815823"/>
          <c:y val="3.45549943511963E-2"/>
          <c:w val="0.8095559915319519"/>
          <c:h val="0.88747534009229234"/>
        </c:manualLayout>
      </c:layout>
      <c:lineChart>
        <c:grouping val="standard"/>
        <c:varyColors val="0"/>
        <c:ser>
          <c:idx val="0"/>
          <c:order val="0"/>
          <c:tx>
            <c:v>Historical S&amp;P return</c:v>
          </c:tx>
          <c:val>
            <c:numRef>
              <c:f>'2Brothers'!$O$5:$O$34</c:f>
              <c:numCache>
                <c:formatCode>"$"#,##0</c:formatCode>
                <c:ptCount val="30"/>
                <c:pt idx="0">
                  <c:v>20220.020522772425</c:v>
                </c:pt>
                <c:pt idx="1">
                  <c:v>40222.977937945921</c:v>
                </c:pt>
                <c:pt idx="2">
                  <c:v>62934.841148692576</c:v>
                </c:pt>
                <c:pt idx="3">
                  <c:v>81720.444903787604</c:v>
                </c:pt>
                <c:pt idx="4">
                  <c:v>133175.38124612812</c:v>
                </c:pt>
                <c:pt idx="5">
                  <c:v>183407.66871063961</c:v>
                </c:pt>
                <c:pt idx="6">
                  <c:v>265026.79557034309</c:v>
                </c:pt>
                <c:pt idx="7">
                  <c:v>360850.42767692835</c:v>
                </c:pt>
                <c:pt idx="8">
                  <c:v>456282.26044786948</c:v>
                </c:pt>
                <c:pt idx="9">
                  <c:v>431850.52312629978</c:v>
                </c:pt>
                <c:pt idx="10">
                  <c:v>397355.82206940767</c:v>
                </c:pt>
                <c:pt idx="11">
                  <c:v>325498.13077927806</c:v>
                </c:pt>
                <c:pt idx="12">
                  <c:v>438937.44942400965</c:v>
                </c:pt>
                <c:pt idx="13">
                  <c:v>505414.37293278932</c:v>
                </c:pt>
                <c:pt idx="14">
                  <c:v>548475.52221906127</c:v>
                </c:pt>
                <c:pt idx="15">
                  <c:v>602793.06310301437</c:v>
                </c:pt>
                <c:pt idx="16">
                  <c:v>604973.10368921631</c:v>
                </c:pt>
                <c:pt idx="17">
                  <c:v>356511.47574746492</c:v>
                </c:pt>
                <c:pt idx="18">
                  <c:v>417179.77635842655</c:v>
                </c:pt>
                <c:pt idx="19">
                  <c:v>447816.17727056361</c:v>
                </c:pt>
                <c:pt idx="20">
                  <c:v>426812.83096252661</c:v>
                </c:pt>
                <c:pt idx="21">
                  <c:v>462788.60026330728</c:v>
                </c:pt>
                <c:pt idx="22">
                  <c:v>578273.06247537036</c:v>
                </c:pt>
                <c:pt idx="23">
                  <c:v>625428.27672979364</c:v>
                </c:pt>
                <c:pt idx="24">
                  <c:v>603707.20765769714</c:v>
                </c:pt>
                <c:pt idx="25">
                  <c:v>644129.26569570706</c:v>
                </c:pt>
                <c:pt idx="26">
                  <c:v>751670.72390121664</c:v>
                </c:pt>
                <c:pt idx="27">
                  <c:v>689196.25946312118</c:v>
                </c:pt>
                <c:pt idx="28">
                  <c:v>871924.17750510899</c:v>
                </c:pt>
                <c:pt idx="29">
                  <c:v>999730.44497703516</c:v>
                </c:pt>
              </c:numCache>
            </c:numRef>
          </c:val>
          <c:smooth val="0"/>
        </c:ser>
        <c:ser>
          <c:idx val="1"/>
          <c:order val="1"/>
          <c:tx>
            <c:v>Assumed fixed return</c:v>
          </c:tx>
          <c:val>
            <c:numRef>
              <c:f>'2Brothers'!$P$5:$P$34</c:f>
              <c:numCache>
                <c:formatCode>"$"#,##0_);[Red]\("$"#,##0\)</c:formatCode>
                <c:ptCount val="30"/>
                <c:pt idx="0">
                  <c:v>18492.447170673095</c:v>
                </c:pt>
                <c:pt idx="1">
                  <c:v>38464.290115000033</c:v>
                </c:pt>
                <c:pt idx="2">
                  <c:v>60033.880494873127</c:v>
                </c:pt>
                <c:pt idx="3">
                  <c:v>83329.03810513606</c:v>
                </c:pt>
                <c:pt idx="4">
                  <c:v>108487.80832422004</c:v>
                </c:pt>
                <c:pt idx="5">
                  <c:v>135659.28016083071</c:v>
                </c:pt>
                <c:pt idx="6">
                  <c:v>165004.46974437023</c:v>
                </c:pt>
                <c:pt idx="7">
                  <c:v>196697.27449459292</c:v>
                </c:pt>
                <c:pt idx="8">
                  <c:v>230925.50362483339</c:v>
                </c:pt>
                <c:pt idx="9">
                  <c:v>267891.99108549312</c:v>
                </c:pt>
                <c:pt idx="10">
                  <c:v>307815.79754300567</c:v>
                </c:pt>
                <c:pt idx="11">
                  <c:v>350933.50851711916</c:v>
                </c:pt>
                <c:pt idx="12">
                  <c:v>397500.63636916177</c:v>
                </c:pt>
                <c:pt idx="13">
                  <c:v>447793.13444936776</c:v>
                </c:pt>
                <c:pt idx="14">
                  <c:v>502109.03237599024</c:v>
                </c:pt>
                <c:pt idx="15">
                  <c:v>511025.51414924063</c:v>
                </c:pt>
                <c:pt idx="16">
                  <c:v>520655.3144643511</c:v>
                </c:pt>
                <c:pt idx="17">
                  <c:v>531055.49880467029</c:v>
                </c:pt>
                <c:pt idx="18">
                  <c:v>542287.69789221499</c:v>
                </c:pt>
                <c:pt idx="19">
                  <c:v>554418.47290676332</c:v>
                </c:pt>
                <c:pt idx="20">
                  <c:v>567519.70992247551</c:v>
                </c:pt>
                <c:pt idx="21">
                  <c:v>581669.04589944473</c:v>
                </c:pt>
                <c:pt idx="22">
                  <c:v>596950.32875457138</c:v>
                </c:pt>
                <c:pt idx="23">
                  <c:v>613454.11423810816</c:v>
                </c:pt>
                <c:pt idx="24">
                  <c:v>631278.20256032795</c:v>
                </c:pt>
                <c:pt idx="25">
                  <c:v>650528.21794832533</c:v>
                </c:pt>
                <c:pt idx="26">
                  <c:v>671318.23456736247</c:v>
                </c:pt>
                <c:pt idx="27">
                  <c:v>693771.4525159226</c:v>
                </c:pt>
                <c:pt idx="28">
                  <c:v>718020.92790036753</c:v>
                </c:pt>
                <c:pt idx="29">
                  <c:v>744210.36131556798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86048"/>
        <c:axId val="213418560"/>
      </c:lineChart>
      <c:catAx>
        <c:axId val="21318604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213418560"/>
        <c:crosses val="autoZero"/>
        <c:auto val="1"/>
        <c:lblAlgn val="ctr"/>
        <c:lblOffset val="100"/>
        <c:tickLblSkip val="1"/>
        <c:noMultiLvlLbl val="0"/>
      </c:catAx>
      <c:valAx>
        <c:axId val="21341856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21318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757673507735645"/>
          <c:y val="7.9573876794812412E-2"/>
          <c:w val="0.29619537148185554"/>
          <c:h val="0.13745977831202472"/>
        </c:manualLayout>
      </c:layout>
      <c:overlay val="0"/>
      <c:spPr>
        <a:solidFill>
          <a:schemeClr val="bg1"/>
        </a:solidFill>
        <a:ln>
          <a:prstDash val="solid"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Dow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Indexes!$G$14:$G$46</c:f>
              <c:numCache>
                <c:formatCode>0.00</c:formatCode>
                <c:ptCount val="33"/>
                <c:pt idx="0">
                  <c:v>1</c:v>
                </c:pt>
                <c:pt idx="1">
                  <c:v>1.0226</c:v>
                </c:pt>
                <c:pt idx="2">
                  <c:v>1.1437781</c:v>
                </c:pt>
                <c:pt idx="3">
                  <c:v>1.4521406757600002</c:v>
                </c:pt>
                <c:pt idx="4">
                  <c:v>1.3891177704320161</c:v>
                </c:pt>
                <c:pt idx="5">
                  <c:v>1.6713865013838018</c:v>
                </c:pt>
                <c:pt idx="6">
                  <c:v>1.7410833184915064</c:v>
                </c:pt>
                <c:pt idx="7">
                  <c:v>1.9799599497885412</c:v>
                </c:pt>
                <c:pt idx="8">
                  <c:v>2.0223310927140163</c:v>
                </c:pt>
                <c:pt idx="9">
                  <c:v>2.6988008432268549</c:v>
                </c:pt>
                <c:pt idx="10">
                  <c:v>3.4007589425501599</c:v>
                </c:pt>
                <c:pt idx="11">
                  <c:v>4.1706907671435163</c:v>
                </c:pt>
                <c:pt idx="12">
                  <c:v>4.8421719806536228</c:v>
                </c:pt>
                <c:pt idx="13">
                  <c:v>6.0633677541744664</c:v>
                </c:pt>
                <c:pt idx="14">
                  <c:v>5.6886516269664842</c:v>
                </c:pt>
                <c:pt idx="15">
                  <c:v>5.2847573614518639</c:v>
                </c:pt>
                <c:pt idx="16">
                  <c:v>4.3990320276725319</c:v>
                </c:pt>
                <c:pt idx="17">
                  <c:v>5.5128669370792176</c:v>
                </c:pt>
                <c:pt idx="18">
                  <c:v>5.6865222455972138</c:v>
                </c:pt>
                <c:pt idx="19">
                  <c:v>5.6518344598990709</c:v>
                </c:pt>
                <c:pt idx="20">
                  <c:v>6.5725182934166302</c:v>
                </c:pt>
                <c:pt idx="21">
                  <c:v>6.9951312196833193</c:v>
                </c:pt>
                <c:pt idx="22">
                  <c:v>4.6279788149424839</c:v>
                </c:pt>
                <c:pt idx="23">
                  <c:v>5.4989644279146592</c:v>
                </c:pt>
                <c:pt idx="24">
                  <c:v>6.1049503078708547</c:v>
                </c:pt>
                <c:pt idx="25">
                  <c:v>6.4425540598961124</c:v>
                </c:pt>
                <c:pt idx="26">
                  <c:v>6.9102834846445704</c:v>
                </c:pt>
                <c:pt idx="27">
                  <c:v>8.7415086080753817</c:v>
                </c:pt>
                <c:pt idx="28">
                  <c:v>9.3988700554026501</c:v>
                </c:pt>
                <c:pt idx="29">
                  <c:v>9.1892752531671711</c:v>
                </c:pt>
                <c:pt idx="30">
                  <c:v>10.422475992142207</c:v>
                </c:pt>
                <c:pt idx="31">
                  <c:v>13.036432970971472</c:v>
                </c:pt>
                <c:pt idx="32">
                  <c:v>12.302481794705777</c:v>
                </c:pt>
              </c:numCache>
            </c:numRef>
          </c:val>
          <c:smooth val="0"/>
        </c:ser>
        <c:ser>
          <c:idx val="1"/>
          <c:order val="1"/>
          <c:tx>
            <c:v>SP500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Indexes!$H$14:$H$46</c:f>
              <c:numCache>
                <c:formatCode>0.00</c:formatCode>
                <c:ptCount val="33"/>
                <c:pt idx="0">
                  <c:v>1</c:v>
                </c:pt>
                <c:pt idx="1">
                  <c:v>1.0203</c:v>
                </c:pt>
                <c:pt idx="2">
                  <c:v>1.1468172000000001</c:v>
                </c:pt>
                <c:pt idx="3">
                  <c:v>1.4593248870000002</c:v>
                </c:pt>
                <c:pt idx="4">
                  <c:v>1.3635931744128003</c:v>
                </c:pt>
                <c:pt idx="5">
                  <c:v>1.7223545386008081</c:v>
                </c:pt>
                <c:pt idx="6">
                  <c:v>1.799171551022404</c:v>
                </c:pt>
                <c:pt idx="7">
                  <c:v>1.9261930625245858</c:v>
                </c:pt>
                <c:pt idx="8">
                  <c:v>1.8965296893617072</c:v>
                </c:pt>
                <c:pt idx="9">
                  <c:v>2.5434359664029853</c:v>
                </c:pt>
                <c:pt idx="10">
                  <c:v>3.05873609319623</c:v>
                </c:pt>
                <c:pt idx="11">
                  <c:v>4.0072501556963811</c:v>
                </c:pt>
                <c:pt idx="12">
                  <c:v>5.0759837722206056</c:v>
                </c:pt>
                <c:pt idx="13">
                  <c:v>6.0673234029352896</c:v>
                </c:pt>
                <c:pt idx="14">
                  <c:v>5.4520968098776512</c:v>
                </c:pt>
                <c:pt idx="15">
                  <c:v>4.7411433858696057</c:v>
                </c:pt>
                <c:pt idx="16">
                  <c:v>3.6331381765918787</c:v>
                </c:pt>
                <c:pt idx="17">
                  <c:v>4.5915600275768167</c:v>
                </c:pt>
                <c:pt idx="18">
                  <c:v>5.0043412740559727</c:v>
                </c:pt>
                <c:pt idx="19">
                  <c:v>5.1544715122776523</c:v>
                </c:pt>
                <c:pt idx="20">
                  <c:v>5.8565105322498692</c:v>
                </c:pt>
                <c:pt idx="21">
                  <c:v>6.062659702985064</c:v>
                </c:pt>
                <c:pt idx="22">
                  <c:v>3.7291419833061128</c:v>
                </c:pt>
                <c:pt idx="23">
                  <c:v>4.6036257783913959</c:v>
                </c:pt>
                <c:pt idx="24">
                  <c:v>5.1919691528698158</c:v>
                </c:pt>
                <c:pt idx="25">
                  <c:v>5.1919691528698158</c:v>
                </c:pt>
                <c:pt idx="26">
                  <c:v>5.8882122162696584</c:v>
                </c:pt>
                <c:pt idx="27">
                  <c:v>7.6311230322854779</c:v>
                </c:pt>
                <c:pt idx="28">
                  <c:v>8.5003079456627955</c:v>
                </c:pt>
                <c:pt idx="29">
                  <c:v>8.4382556976594572</c:v>
                </c:pt>
                <c:pt idx="30">
                  <c:v>9.2432652912161686</c:v>
                </c:pt>
                <c:pt idx="31">
                  <c:v>11.038307410770347</c:v>
                </c:pt>
                <c:pt idx="32">
                  <c:v>10.349517028338278</c:v>
                </c:pt>
              </c:numCache>
            </c:numRef>
          </c:val>
          <c:smooth val="0"/>
        </c:ser>
        <c:ser>
          <c:idx val="2"/>
          <c:order val="2"/>
          <c:tx>
            <c:v>NASDAQ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Indexes!$I$14:$I$46</c:f>
              <c:numCache>
                <c:formatCode>0.00</c:formatCode>
                <c:ptCount val="33"/>
                <c:pt idx="0">
                  <c:v>1</c:v>
                </c:pt>
                <c:pt idx="1">
                  <c:v>0.94740000000000002</c:v>
                </c:pt>
                <c:pt idx="2">
                  <c:v>1.0933943399999999</c:v>
                </c:pt>
                <c:pt idx="3">
                  <c:v>1.303982089884</c:v>
                </c:pt>
                <c:pt idx="4">
                  <c:v>1.071873277884648</c:v>
                </c:pt>
                <c:pt idx="5">
                  <c:v>1.6811260490342821</c:v>
                </c:pt>
                <c:pt idx="6">
                  <c:v>1.9408600236100788</c:v>
                </c:pt>
                <c:pt idx="7">
                  <c:v>2.2271368770925655</c:v>
                </c:pt>
                <c:pt idx="8">
                  <c:v>2.1558684970256032</c:v>
                </c:pt>
                <c:pt idx="9">
                  <c:v>3.0164912010382241</c:v>
                </c:pt>
                <c:pt idx="10">
                  <c:v>3.7015363527940051</c:v>
                </c:pt>
                <c:pt idx="11">
                  <c:v>4.5025488195386272</c:v>
                </c:pt>
                <c:pt idx="12">
                  <c:v>6.286908916721786</c:v>
                </c:pt>
                <c:pt idx="13">
                  <c:v>11.667874258543963</c:v>
                </c:pt>
                <c:pt idx="14">
                  <c:v>7.0835664623620396</c:v>
                </c:pt>
                <c:pt idx="15">
                  <c:v>5.5924757220348305</c:v>
                </c:pt>
                <c:pt idx="16">
                  <c:v>3.8291681268772484</c:v>
                </c:pt>
                <c:pt idx="17">
                  <c:v>5.7441351071285602</c:v>
                </c:pt>
                <c:pt idx="18">
                  <c:v>6.2375563128309039</c:v>
                </c:pt>
                <c:pt idx="19">
                  <c:v>6.3230108343166878</c:v>
                </c:pt>
                <c:pt idx="20">
                  <c:v>6.9249614657436362</c:v>
                </c:pt>
                <c:pt idx="21">
                  <c:v>7.6043001855330878</c:v>
                </c:pt>
                <c:pt idx="22">
                  <c:v>4.5215168903179741</c:v>
                </c:pt>
                <c:pt idx="23">
                  <c:v>6.5060106534785334</c:v>
                </c:pt>
                <c:pt idx="24">
                  <c:v>7.6061770549817531</c:v>
                </c:pt>
                <c:pt idx="25">
                  <c:v>7.4692658679920818</c:v>
                </c:pt>
                <c:pt idx="26">
                  <c:v>8.6576260675896215</c:v>
                </c:pt>
                <c:pt idx="27">
                  <c:v>11.975228376689964</c:v>
                </c:pt>
                <c:pt idx="28">
                  <c:v>13.579908979166419</c:v>
                </c:pt>
                <c:pt idx="29">
                  <c:v>14.358037763672653</c:v>
                </c:pt>
                <c:pt idx="30">
                  <c:v>15.434890595948103</c:v>
                </c:pt>
                <c:pt idx="31">
                  <c:v>19.793703700243846</c:v>
                </c:pt>
                <c:pt idx="32">
                  <c:v>19.025707996674385</c:v>
                </c:pt>
              </c:numCache>
            </c:numRef>
          </c:val>
          <c:smooth val="0"/>
        </c:ser>
        <c:ser>
          <c:idx val="3"/>
          <c:order val="3"/>
          <c:tx>
            <c:v>EU50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Indexes!$J$14:$J$46</c:f>
              <c:numCache>
                <c:formatCode>0.00</c:formatCode>
                <c:ptCount val="33"/>
                <c:pt idx="0">
                  <c:v>1</c:v>
                </c:pt>
                <c:pt idx="1">
                  <c:v>0.71950000000000003</c:v>
                </c:pt>
                <c:pt idx="2">
                  <c:v>0.9562155</c:v>
                </c:pt>
                <c:pt idx="3">
                  <c:v>1.2194616271500001</c:v>
                </c:pt>
                <c:pt idx="4">
                  <c:v>0.95325315394315513</c:v>
                </c:pt>
                <c:pt idx="5">
                  <c:v>1.1100632977668041</c:v>
                </c:pt>
                <c:pt idx="6">
                  <c:v>1.1472504182419923</c:v>
                </c:pt>
                <c:pt idx="7">
                  <c:v>1.5911216050598191</c:v>
                </c:pt>
                <c:pt idx="8">
                  <c:v>1.4659003347416113</c:v>
                </c:pt>
                <c:pt idx="9">
                  <c:v>1.6725922819401786</c:v>
                </c:pt>
                <c:pt idx="10">
                  <c:v>2.0539433222225392</c:v>
                </c:pt>
                <c:pt idx="11">
                  <c:v>2.8106160421293227</c:v>
                </c:pt>
                <c:pt idx="12">
                  <c:v>3.710013175610706</c:v>
                </c:pt>
                <c:pt idx="13">
                  <c:v>5.4440733338911498</c:v>
                </c:pt>
                <c:pt idx="14">
                  <c:v>5.297627761209478</c:v>
                </c:pt>
                <c:pt idx="15">
                  <c:v>4.2248581395645584</c:v>
                </c:pt>
                <c:pt idx="16">
                  <c:v>2.6489860535069782</c:v>
                </c:pt>
                <c:pt idx="17">
                  <c:v>3.0643470666968726</c:v>
                </c:pt>
                <c:pt idx="18">
                  <c:v>3.2757870142989565</c:v>
                </c:pt>
                <c:pt idx="19">
                  <c:v>3.9728744909417748</c:v>
                </c:pt>
                <c:pt idx="20">
                  <c:v>4.5735731139721709</c:v>
                </c:pt>
                <c:pt idx="21">
                  <c:v>4.8841187284108818</c:v>
                </c:pt>
                <c:pt idx="22">
                  <c:v>2.7170352486149736</c:v>
                </c:pt>
                <c:pt idx="23">
                  <c:v>3.2914165001721791</c:v>
                </c:pt>
                <c:pt idx="24">
                  <c:v>3.1001852015121756</c:v>
                </c:pt>
                <c:pt idx="25">
                  <c:v>2.5716036246543497</c:v>
                </c:pt>
                <c:pt idx="26">
                  <c:v>2.9262277644941843</c:v>
                </c:pt>
                <c:pt idx="27">
                  <c:v>3.4514856482208902</c:v>
                </c:pt>
                <c:pt idx="28">
                  <c:v>3.4929034759995408</c:v>
                </c:pt>
                <c:pt idx="29">
                  <c:v>3.6273802598255229</c:v>
                </c:pt>
                <c:pt idx="30">
                  <c:v>3.6527719216443013</c:v>
                </c:pt>
                <c:pt idx="31">
                  <c:v>3.8898368193590165</c:v>
                </c:pt>
                <c:pt idx="32">
                  <c:v>3.3320342194629338</c:v>
                </c:pt>
              </c:numCache>
            </c:numRef>
          </c:val>
          <c:smooth val="0"/>
        </c:ser>
        <c:ser>
          <c:idx val="4"/>
          <c:order val="4"/>
          <c:tx>
            <c:v>HS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Indexes!$K$14:$K$46</c:f>
              <c:numCache>
                <c:formatCode>0.00</c:formatCode>
                <c:ptCount val="33"/>
                <c:pt idx="0">
                  <c:v>1</c:v>
                </c:pt>
                <c:pt idx="1">
                  <c:v>0.89659999999999995</c:v>
                </c:pt>
                <c:pt idx="2">
                  <c:v>1.0463321999999999</c:v>
                </c:pt>
                <c:pt idx="3">
                  <c:v>1.1044036371000001</c:v>
                </c:pt>
                <c:pt idx="4">
                  <c:v>1.1774047175123101</c:v>
                </c:pt>
                <c:pt idx="5">
                  <c:v>1.673209844056744</c:v>
                </c:pt>
                <c:pt idx="6">
                  <c:v>2.1463935879559912</c:v>
                </c:pt>
                <c:pt idx="7">
                  <c:v>4.6291270511446863</c:v>
                </c:pt>
                <c:pt idx="8">
                  <c:v>3.1894685382386889</c:v>
                </c:pt>
                <c:pt idx="9">
                  <c:v>3.9224084083259396</c:v>
                </c:pt>
                <c:pt idx="10">
                  <c:v>5.2375919476376271</c:v>
                </c:pt>
                <c:pt idx="11">
                  <c:v>4.1748845414619531</c:v>
                </c:pt>
                <c:pt idx="12">
                  <c:v>3.9122843038039963</c:v>
                </c:pt>
                <c:pt idx="13">
                  <c:v>6.6039359048211459</c:v>
                </c:pt>
                <c:pt idx="14">
                  <c:v>5.8775029552908196</c:v>
                </c:pt>
                <c:pt idx="15">
                  <c:v>4.4375147312445691</c:v>
                </c:pt>
                <c:pt idx="16">
                  <c:v>3.629443298684933</c:v>
                </c:pt>
                <c:pt idx="17">
                  <c:v>4.8968448985857114</c:v>
                </c:pt>
                <c:pt idx="18">
                  <c:v>5.5407800027497318</c:v>
                </c:pt>
                <c:pt idx="19">
                  <c:v>5.7923314148745702</c:v>
                </c:pt>
                <c:pt idx="20">
                  <c:v>7.773308758761674</c:v>
                </c:pt>
                <c:pt idx="21">
                  <c:v>10.828996431830888</c:v>
                </c:pt>
                <c:pt idx="22">
                  <c:v>5.6018398541861183</c:v>
                </c:pt>
                <c:pt idx="23">
                  <c:v>8.5159169463337374</c:v>
                </c:pt>
                <c:pt idx="24">
                  <c:v>8.9689637278786911</c:v>
                </c:pt>
                <c:pt idx="25">
                  <c:v>7.1778616714213168</c:v>
                </c:pt>
                <c:pt idx="26">
                  <c:v>8.8223097803439412</c:v>
                </c:pt>
                <c:pt idx="27">
                  <c:v>9.0755100710398118</c:v>
                </c:pt>
                <c:pt idx="28">
                  <c:v>9.1916765999491208</c:v>
                </c:pt>
                <c:pt idx="29">
                  <c:v>8.5335525553927631</c:v>
                </c:pt>
                <c:pt idx="30">
                  <c:v>8.5668334103587949</c:v>
                </c:pt>
                <c:pt idx="31">
                  <c:v>11.650036754746926</c:v>
                </c:pt>
                <c:pt idx="32">
                  <c:v>10.06446675242587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84512"/>
        <c:axId val="213419712"/>
      </c:lineChart>
      <c:catAx>
        <c:axId val="2131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419712"/>
        <c:crosses val="autoZero"/>
        <c:auto val="1"/>
        <c:lblAlgn val="ctr"/>
        <c:lblOffset val="100"/>
        <c:noMultiLvlLbl val="0"/>
      </c:catAx>
      <c:valAx>
        <c:axId val="21341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18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v>Dow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Indexes!$L$14:$L$46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1.0125999999999999</c:v>
                </c:pt>
                <c:pt idx="2">
                  <c:v>1.1224670999999999</c:v>
                </c:pt>
                <c:pt idx="3">
                  <c:v>1.257163152</c:v>
                </c:pt>
                <c:pt idx="4">
                  <c:v>1.24459152048</c:v>
                </c:pt>
                <c:pt idx="5">
                  <c:v>1.3939425029376</c:v>
                </c:pt>
                <c:pt idx="6">
                  <c:v>1.438130480280722</c:v>
                </c:pt>
                <c:pt idx="7">
                  <c:v>1.6107061379144088</c:v>
                </c:pt>
                <c:pt idx="8">
                  <c:v>1.6290681878866331</c:v>
                </c:pt>
                <c:pt idx="9">
                  <c:v>1.8245563704330292</c:v>
                </c:pt>
                <c:pt idx="10">
                  <c:v>2.0435031348849928</c:v>
                </c:pt>
                <c:pt idx="11">
                  <c:v>2.2887235110711921</c:v>
                </c:pt>
                <c:pt idx="12">
                  <c:v>2.5633703323997352</c:v>
                </c:pt>
                <c:pt idx="13">
                  <c:v>2.8709747722877039</c:v>
                </c:pt>
                <c:pt idx="14">
                  <c:v>2.8422650245648269</c:v>
                </c:pt>
                <c:pt idx="15">
                  <c:v>2.8138423743191785</c:v>
                </c:pt>
                <c:pt idx="16">
                  <c:v>2.7857039505759866</c:v>
                </c:pt>
                <c:pt idx="17">
                  <c:v>3.1199884246451055</c:v>
                </c:pt>
                <c:pt idx="18">
                  <c:v>3.1870681757749755</c:v>
                </c:pt>
                <c:pt idx="19">
                  <c:v>3.1551974940172256</c:v>
                </c:pt>
                <c:pt idx="20">
                  <c:v>3.5338211932992931</c:v>
                </c:pt>
                <c:pt idx="21">
                  <c:v>3.7257076840954446</c:v>
                </c:pt>
                <c:pt idx="22">
                  <c:v>3.6884506072544903</c:v>
                </c:pt>
                <c:pt idx="23">
                  <c:v>4.1310646801250295</c:v>
                </c:pt>
                <c:pt idx="24">
                  <c:v>4.5449973610735581</c:v>
                </c:pt>
                <c:pt idx="25">
                  <c:v>4.7508857415301895</c:v>
                </c:pt>
                <c:pt idx="26">
                  <c:v>5.0482911889499791</c:v>
                </c:pt>
                <c:pt idx="27">
                  <c:v>5.654086131623977</c:v>
                </c:pt>
                <c:pt idx="28">
                  <c:v>6.0227325474058597</c:v>
                </c:pt>
                <c:pt idx="29">
                  <c:v>5.9625052219318011</c:v>
                </c:pt>
                <c:pt idx="30">
                  <c:v>6.6780058485636182</c:v>
                </c:pt>
                <c:pt idx="31">
                  <c:v>7.4793665503912532</c:v>
                </c:pt>
                <c:pt idx="32">
                  <c:v>7.4045728848873402</c:v>
                </c:pt>
              </c:numCache>
            </c:numRef>
          </c:val>
          <c:smooth val="0"/>
        </c:ser>
        <c:ser>
          <c:idx val="1"/>
          <c:order val="1"/>
          <c:tx>
            <c:v>SP500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Indexes!$M$14:$M$46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1.0103</c:v>
                </c:pt>
                <c:pt idx="2">
                  <c:v>1.1254742</c:v>
                </c:pt>
                <c:pt idx="3">
                  <c:v>1.260531104</c:v>
                </c:pt>
                <c:pt idx="4">
                  <c:v>1.2479257929600001</c:v>
                </c:pt>
                <c:pt idx="5">
                  <c:v>1.3976768881152002</c:v>
                </c:pt>
                <c:pt idx="6">
                  <c:v>1.4460365084439861</c:v>
                </c:pt>
                <c:pt idx="7">
                  <c:v>1.5336663208556918</c:v>
                </c:pt>
                <c:pt idx="8">
                  <c:v>1.5183296576471348</c:v>
                </c:pt>
                <c:pt idx="9">
                  <c:v>1.7005292165647912</c:v>
                </c:pt>
                <c:pt idx="10">
                  <c:v>1.9045927225525663</c:v>
                </c:pt>
                <c:pt idx="11">
                  <c:v>2.1331438492588743</c:v>
                </c:pt>
                <c:pt idx="12">
                  <c:v>2.3891211111699393</c:v>
                </c:pt>
                <c:pt idx="13">
                  <c:v>2.6758156445103323</c:v>
                </c:pt>
                <c:pt idx="14">
                  <c:v>2.6490574880652291</c:v>
                </c:pt>
                <c:pt idx="15">
                  <c:v>2.6225669131845768</c:v>
                </c:pt>
                <c:pt idx="16">
                  <c:v>2.5963412440527311</c:v>
                </c:pt>
                <c:pt idx="17">
                  <c:v>2.907902193339059</c:v>
                </c:pt>
                <c:pt idx="18">
                  <c:v>3.1402435785868499</c:v>
                </c:pt>
                <c:pt idx="19">
                  <c:v>3.2030484501585867</c:v>
                </c:pt>
                <c:pt idx="20">
                  <c:v>3.5874142641776174</c:v>
                </c:pt>
                <c:pt idx="21">
                  <c:v>3.6778171036348928</c:v>
                </c:pt>
                <c:pt idx="22">
                  <c:v>3.6410389325985437</c:v>
                </c:pt>
                <c:pt idx="23">
                  <c:v>4.0779636045103693</c:v>
                </c:pt>
                <c:pt idx="24">
                  <c:v>4.5583477171216904</c:v>
                </c:pt>
                <c:pt idx="25">
                  <c:v>4.5127642399504735</c:v>
                </c:pt>
                <c:pt idx="26">
                  <c:v>5.0542959487445307</c:v>
                </c:pt>
                <c:pt idx="27">
                  <c:v>5.660811462593875</c:v>
                </c:pt>
                <c:pt idx="28">
                  <c:v>6.2489697735573788</c:v>
                </c:pt>
                <c:pt idx="29">
                  <c:v>6.1864800758218053</c:v>
                </c:pt>
                <c:pt idx="30">
                  <c:v>6.7148054742969867</c:v>
                </c:pt>
                <c:pt idx="31">
                  <c:v>7.5205821312126258</c:v>
                </c:pt>
                <c:pt idx="32">
                  <c:v>7.4453763099004995</c:v>
                </c:pt>
              </c:numCache>
            </c:numRef>
          </c:val>
          <c:smooth val="0"/>
        </c:ser>
        <c:ser>
          <c:idx val="2"/>
          <c:order val="2"/>
          <c:tx>
            <c:v>NASDAQ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Indexes!$N$14:$N$46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1.2418560000000001</c:v>
                </c:pt>
                <c:pt idx="4">
                  <c:v>1.2294374400000001</c:v>
                </c:pt>
                <c:pt idx="5">
                  <c:v>1.3769699328000002</c:v>
                </c:pt>
                <c:pt idx="6">
                  <c:v>1.5422063247360005</c:v>
                </c:pt>
                <c:pt idx="7">
                  <c:v>1.7272710837043208</c:v>
                </c:pt>
                <c:pt idx="8">
                  <c:v>1.7099983728672776</c:v>
                </c:pt>
                <c:pt idx="9">
                  <c:v>1.9151981776113511</c:v>
                </c:pt>
                <c:pt idx="10">
                  <c:v>2.1450219589247133</c:v>
                </c:pt>
                <c:pt idx="11">
                  <c:v>2.4024245939956792</c:v>
                </c:pt>
                <c:pt idx="12">
                  <c:v>2.690715545275161</c:v>
                </c:pt>
                <c:pt idx="13">
                  <c:v>3.0136014107081808</c:v>
                </c:pt>
                <c:pt idx="14">
                  <c:v>2.9834653966010989</c:v>
                </c:pt>
                <c:pt idx="15">
                  <c:v>2.9536307426350881</c:v>
                </c:pt>
                <c:pt idx="16">
                  <c:v>2.9240944352087372</c:v>
                </c:pt>
                <c:pt idx="17">
                  <c:v>3.2749857674337859</c:v>
                </c:pt>
                <c:pt idx="18">
                  <c:v>3.5235571871820106</c:v>
                </c:pt>
                <c:pt idx="19">
                  <c:v>3.5365943487745843</c:v>
                </c:pt>
                <c:pt idx="20">
                  <c:v>3.8379121872901787</c:v>
                </c:pt>
                <c:pt idx="21">
                  <c:v>4.1760322509904437</c:v>
                </c:pt>
                <c:pt idx="22">
                  <c:v>4.1342719284805396</c:v>
                </c:pt>
                <c:pt idx="23">
                  <c:v>4.6303845598982045</c:v>
                </c:pt>
                <c:pt idx="24">
                  <c:v>5.1860307070859895</c:v>
                </c:pt>
                <c:pt idx="25">
                  <c:v>5.1341704000151296</c:v>
                </c:pt>
                <c:pt idx="26">
                  <c:v>5.750270848016946</c:v>
                </c:pt>
                <c:pt idx="27">
                  <c:v>6.4403033497789801</c:v>
                </c:pt>
                <c:pt idx="28">
                  <c:v>7.2131397517524585</c:v>
                </c:pt>
                <c:pt idx="29">
                  <c:v>7.5543212620103493</c:v>
                </c:pt>
                <c:pt idx="30">
                  <c:v>8.0453521440410221</c:v>
                </c:pt>
                <c:pt idx="31">
                  <c:v>9.0107944013259456</c:v>
                </c:pt>
                <c:pt idx="32">
                  <c:v>8.9206864573126854</c:v>
                </c:pt>
              </c:numCache>
            </c:numRef>
          </c:val>
          <c:smooth val="0"/>
        </c:ser>
        <c:ser>
          <c:idx val="3"/>
          <c:order val="3"/>
          <c:tx>
            <c:v>EU50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Indexes!$O$14:$O$46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1.2418560000000001</c:v>
                </c:pt>
                <c:pt idx="4">
                  <c:v>1.2294374400000001</c:v>
                </c:pt>
                <c:pt idx="5">
                  <c:v>1.3769699328000002</c:v>
                </c:pt>
                <c:pt idx="6">
                  <c:v>1.4093287262208003</c:v>
                </c:pt>
                <c:pt idx="7">
                  <c:v>1.5784481733672966</c:v>
                </c:pt>
                <c:pt idx="8">
                  <c:v>1.5626636916336236</c:v>
                </c:pt>
                <c:pt idx="9">
                  <c:v>1.7501833346296587</c:v>
                </c:pt>
                <c:pt idx="10">
                  <c:v>1.960205334785218</c:v>
                </c:pt>
                <c:pt idx="11">
                  <c:v>2.1954299749594441</c:v>
                </c:pt>
                <c:pt idx="12">
                  <c:v>2.4588815719545778</c:v>
                </c:pt>
                <c:pt idx="13">
                  <c:v>2.7539473605891276</c:v>
                </c:pt>
                <c:pt idx="14">
                  <c:v>2.7264078869832362</c:v>
                </c:pt>
                <c:pt idx="15">
                  <c:v>2.699143808113404</c:v>
                </c:pt>
                <c:pt idx="16">
                  <c:v>2.6721523700322698</c:v>
                </c:pt>
                <c:pt idx="17">
                  <c:v>2.9928106544361426</c:v>
                </c:pt>
                <c:pt idx="18">
                  <c:v>3.1693864830478748</c:v>
                </c:pt>
                <c:pt idx="19">
                  <c:v>3.5497128610136204</c:v>
                </c:pt>
                <c:pt idx="20">
                  <c:v>3.9756784043352553</c:v>
                </c:pt>
                <c:pt idx="21">
                  <c:v>4.2058701839462671</c:v>
                </c:pt>
                <c:pt idx="22">
                  <c:v>4.1638114821068042</c:v>
                </c:pt>
                <c:pt idx="23">
                  <c:v>4.6634688599596208</c:v>
                </c:pt>
                <c:pt idx="24">
                  <c:v>4.6168341713600247</c:v>
                </c:pt>
                <c:pt idx="25">
                  <c:v>4.5706658296464244</c:v>
                </c:pt>
                <c:pt idx="26">
                  <c:v>5.1191457292039955</c:v>
                </c:pt>
                <c:pt idx="27">
                  <c:v>5.7334432167084755</c:v>
                </c:pt>
                <c:pt idx="28">
                  <c:v>5.7449101031418923</c:v>
                </c:pt>
                <c:pt idx="29">
                  <c:v>5.9086400410814361</c:v>
                </c:pt>
                <c:pt idx="30">
                  <c:v>5.8909141209581914</c:v>
                </c:pt>
                <c:pt idx="31">
                  <c:v>6.2143253061987958</c:v>
                </c:pt>
                <c:pt idx="32">
                  <c:v>6.1521820531368077</c:v>
                </c:pt>
              </c:numCache>
            </c:numRef>
          </c:val>
          <c:smooth val="0"/>
        </c:ser>
        <c:ser>
          <c:idx val="4"/>
          <c:order val="4"/>
          <c:tx>
            <c:v>HS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Indexes!$P$14:$P$46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1.1592504000000001</c:v>
                </c:pt>
                <c:pt idx="4">
                  <c:v>1.2242843474400003</c:v>
                </c:pt>
                <c:pt idx="5">
                  <c:v>1.3711984691328005</c:v>
                </c:pt>
                <c:pt idx="6">
                  <c:v>1.5357422854287368</c:v>
                </c:pt>
                <c:pt idx="7">
                  <c:v>1.7200313596801853</c:v>
                </c:pt>
                <c:pt idx="8">
                  <c:v>1.7028310460833833</c:v>
                </c:pt>
                <c:pt idx="9">
                  <c:v>1.9071707716133894</c:v>
                </c:pt>
                <c:pt idx="10">
                  <c:v>2.1360312642069963</c:v>
                </c:pt>
                <c:pt idx="11">
                  <c:v>2.1146709515649262</c:v>
                </c:pt>
                <c:pt idx="12">
                  <c:v>2.093524242049277</c:v>
                </c:pt>
                <c:pt idx="13">
                  <c:v>2.3447471510951905</c:v>
                </c:pt>
                <c:pt idx="14">
                  <c:v>2.3212996795842384</c:v>
                </c:pt>
                <c:pt idx="15">
                  <c:v>2.2980866827883961</c:v>
                </c:pt>
                <c:pt idx="16">
                  <c:v>2.275105815960512</c:v>
                </c:pt>
                <c:pt idx="17">
                  <c:v>2.5481185138757736</c:v>
                </c:pt>
                <c:pt idx="18">
                  <c:v>2.8538927355408665</c:v>
                </c:pt>
                <c:pt idx="19">
                  <c:v>2.9549205383790134</c:v>
                </c:pt>
                <c:pt idx="20">
                  <c:v>3.3095110029844954</c:v>
                </c:pt>
                <c:pt idx="21">
                  <c:v>3.7066523233426354</c:v>
                </c:pt>
                <c:pt idx="22">
                  <c:v>3.6695858001092092</c:v>
                </c:pt>
                <c:pt idx="23">
                  <c:v>4.1099360961223148</c:v>
                </c:pt>
                <c:pt idx="24">
                  <c:v>4.2874853354747984</c:v>
                </c:pt>
                <c:pt idx="25">
                  <c:v>4.2446104821200503</c:v>
                </c:pt>
                <c:pt idx="26">
                  <c:v>4.7539637399744565</c:v>
                </c:pt>
                <c:pt idx="27">
                  <c:v>4.8428628619119785</c:v>
                </c:pt>
                <c:pt idx="28">
                  <c:v>4.8564228779253318</c:v>
                </c:pt>
                <c:pt idx="29">
                  <c:v>4.8078586491460786</c:v>
                </c:pt>
                <c:pt idx="30">
                  <c:v>4.7785307113862876</c:v>
                </c:pt>
                <c:pt idx="31">
                  <c:v>5.3519543967526424</c:v>
                </c:pt>
                <c:pt idx="32">
                  <c:v>5.2984348527851157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39648"/>
        <c:axId val="213423168"/>
      </c:lineChart>
      <c:catAx>
        <c:axId val="21333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423168"/>
        <c:crosses val="autoZero"/>
        <c:auto val="1"/>
        <c:lblAlgn val="ctr"/>
        <c:lblOffset val="100"/>
        <c:noMultiLvlLbl val="0"/>
      </c:catAx>
      <c:valAx>
        <c:axId val="21342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33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13</xdr:col>
      <xdr:colOff>48491</xdr:colOff>
      <xdr:row>85</xdr:row>
      <xdr:rowOff>78030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418" y="11249891"/>
          <a:ext cx="7658764" cy="5121084"/>
        </a:xfrm>
        <a:prstGeom prst="rect">
          <a:avLst/>
        </a:prstGeom>
      </xdr:spPr>
    </xdr:pic>
    <xdr:clientData/>
  </xdr:twoCellAnchor>
  <xdr:twoCellAnchor editAs="oneCell">
    <xdr:from>
      <xdr:col>1</xdr:col>
      <xdr:colOff>48491</xdr:colOff>
      <xdr:row>86</xdr:row>
      <xdr:rowOff>13855</xdr:rowOff>
    </xdr:from>
    <xdr:to>
      <xdr:col>12</xdr:col>
      <xdr:colOff>686448</xdr:colOff>
      <xdr:row>111</xdr:row>
      <xdr:rowOff>19125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909" y="16500764"/>
          <a:ext cx="7468248" cy="48543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12</xdr:col>
      <xdr:colOff>603294</xdr:colOff>
      <xdr:row>136</xdr:row>
      <xdr:rowOff>118853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6582" y="21723927"/>
          <a:ext cx="7163421" cy="45800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100</xdr:row>
      <xdr:rowOff>108584</xdr:rowOff>
    </xdr:from>
    <xdr:to>
      <xdr:col>26</xdr:col>
      <xdr:colOff>152400</xdr:colOff>
      <xdr:row>127</xdr:row>
      <xdr:rowOff>7620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358140</xdr:colOff>
      <xdr:row>41</xdr:row>
      <xdr:rowOff>114300</xdr:rowOff>
    </xdr:from>
    <xdr:to>
      <xdr:col>32</xdr:col>
      <xdr:colOff>464820</xdr:colOff>
      <xdr:row>58</xdr:row>
      <xdr:rowOff>190500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365760</xdr:colOff>
      <xdr:row>61</xdr:row>
      <xdr:rowOff>0</xdr:rowOff>
    </xdr:from>
    <xdr:to>
      <xdr:col>32</xdr:col>
      <xdr:colOff>472440</xdr:colOff>
      <xdr:row>78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0.12125</cdr:x>
      <cdr:y>0.02139</cdr:y>
    </cdr:from>
    <cdr:to>
      <cdr:x>0.89995</cdr:x>
      <cdr:y>0.09661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8020" y="73660"/>
          <a:ext cx="429006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20 years average return:  Cap/Floor on price change </a:t>
          </a:r>
          <a:r>
            <a:rPr lang="en-US" sz="1100" b="1" baseline="0"/>
            <a:t>vs. total return</a:t>
          </a:r>
          <a:endParaRPr lang="en-US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0.1314</cdr:x>
      <cdr:y>0.02655</cdr:y>
    </cdr:from>
    <cdr:to>
      <cdr:x>0.9101</cdr:x>
      <cdr:y>0.10177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23900" y="91440"/>
          <a:ext cx="429006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10 years average return:  Cap/Floor on price change </a:t>
          </a:r>
          <a:r>
            <a:rPr lang="en-US" sz="1100" b="1" baseline="0"/>
            <a:t>vs. total return</a:t>
          </a:r>
          <a:endParaRPr lang="en-US" sz="11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0</xdr:colOff>
      <xdr:row>4</xdr:row>
      <xdr:rowOff>9525</xdr:rowOff>
    </xdr:to>
    <xdr:pic>
      <xdr:nvPicPr>
        <xdr:cNvPr id="12679" name="Picture 1" descr="2 Brother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r="67999" b="75999"/>
        <a:stretch>
          <a:fillRect/>
        </a:stretch>
      </xdr:blipFill>
      <xdr:spPr bwMode="auto">
        <a:xfrm>
          <a:off x="76200" y="0"/>
          <a:ext cx="1381125" cy="2018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529590</xdr:colOff>
      <xdr:row>2</xdr:row>
      <xdr:rowOff>148590</xdr:rowOff>
    </xdr:from>
    <xdr:to>
      <xdr:col>24</xdr:col>
      <xdr:colOff>160020</xdr:colOff>
      <xdr:row>23</xdr:row>
      <xdr:rowOff>60960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46</xdr:row>
      <xdr:rowOff>148590</xdr:rowOff>
    </xdr:from>
    <xdr:to>
      <xdr:col>11</xdr:col>
      <xdr:colOff>53340</xdr:colOff>
      <xdr:row>82</xdr:row>
      <xdr:rowOff>24765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163830</xdr:colOff>
      <xdr:row>47</xdr:row>
      <xdr:rowOff>7620</xdr:rowOff>
    </xdr:from>
    <xdr:to>
      <xdr:col>21</xdr:col>
      <xdr:colOff>560070</xdr:colOff>
      <xdr:row>82</xdr:row>
      <xdr:rowOff>40005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lickcharts.com/sp500/return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110"/>
  <sheetViews>
    <sheetView topLeftCell="A2" zoomScale="110" zoomScaleNormal="110" workbookViewId="0">
      <selection activeCell="T20" sqref="T20"/>
    </sheetView>
  </sheetViews>
  <sheetFormatPr defaultColWidth="9.33203125" defaultRowHeight="15" customHeight="1"/>
  <cols>
    <col min="1" max="1" width="6.33203125" style="99" customWidth="1"/>
    <col min="2" max="2" width="3.88671875" style="89" customWidth="1"/>
    <col min="3" max="3" width="10" style="100" customWidth="1"/>
    <col min="4" max="4" width="9.77734375" style="89" customWidth="1"/>
    <col min="5" max="5" width="9" style="90" customWidth="1"/>
    <col min="6" max="6" width="11.109375" style="89" customWidth="1"/>
    <col min="7" max="7" width="11.109375" style="92" customWidth="1"/>
    <col min="8" max="8" width="10.6640625" style="89" customWidth="1"/>
    <col min="9" max="9" width="0.109375" style="91" customWidth="1"/>
    <col min="10" max="10" width="10.33203125" style="91" customWidth="1"/>
    <col min="11" max="11" width="11.6640625" style="91" customWidth="1"/>
    <col min="12" max="12" width="11.77734375" style="89" customWidth="1"/>
    <col min="13" max="13" width="11.33203125" style="92" customWidth="1"/>
    <col min="14" max="14" width="11.88671875" style="92" customWidth="1"/>
    <col min="15" max="17" width="12.6640625" style="92" customWidth="1"/>
    <col min="18" max="18" width="1.88671875" style="121" customWidth="1"/>
    <col min="19" max="19" width="6.21875" style="121" customWidth="1"/>
    <col min="20" max="20" width="12.77734375" style="121" customWidth="1"/>
    <col min="21" max="21" width="10.44140625" style="121" customWidth="1"/>
    <col min="22" max="22" width="13.6640625" style="121" customWidth="1"/>
    <col min="23" max="23" width="11.6640625" style="121" hidden="1" customWidth="1"/>
    <col min="24" max="24" width="14.77734375" bestFit="1" customWidth="1"/>
    <col min="25" max="25" width="12.44140625" style="121" customWidth="1"/>
    <col min="26" max="26" width="2.5546875" style="241" customWidth="1"/>
    <col min="27" max="27" width="7.44140625" style="292" customWidth="1"/>
    <col min="28" max="29" width="9.33203125" style="241"/>
    <col min="30" max="30" width="9.109375" style="121" customWidth="1"/>
    <col min="31" max="32" width="8.33203125" style="241" customWidth="1"/>
    <col min="33" max="33" width="5" style="241" bestFit="1" customWidth="1"/>
    <col min="34" max="34" width="9.33203125" style="241" bestFit="1" customWidth="1"/>
    <col min="35" max="35" width="8.33203125" style="241" bestFit="1" customWidth="1"/>
    <col min="36" max="36" width="9.6640625" style="241" bestFit="1" customWidth="1"/>
    <col min="37" max="37" width="11.5546875" style="241" customWidth="1"/>
    <col min="38" max="38" width="9" style="241" customWidth="1"/>
    <col min="39" max="39" width="7.6640625" style="241" bestFit="1" customWidth="1"/>
    <col min="40" max="41" width="9.33203125" style="241"/>
    <col min="42" max="42" width="9.33203125" style="79"/>
    <col min="43" max="43" width="9.77734375" style="84" customWidth="1"/>
    <col min="44" max="46" width="15.88671875" style="84" customWidth="1"/>
    <col min="47" max="51" width="9.33203125" style="79"/>
    <col min="52" max="55" width="9.33203125" style="241"/>
    <col min="56" max="16384" width="9.33203125" style="99"/>
  </cols>
  <sheetData>
    <row r="1" spans="1:55" ht="10.199999999999999" hidden="1" customHeight="1" thickBot="1">
      <c r="A1" s="531">
        <f>LEFT(H5,FIND("/",H5)-1)/100</f>
        <v>0.12</v>
      </c>
      <c r="B1" s="532">
        <f>RIGHT(H5,LEN(H5)-FIND("/",H5))/100</f>
        <v>0</v>
      </c>
    </row>
    <row r="2" spans="1:55" ht="15" customHeight="1">
      <c r="A2" s="99" t="s">
        <v>3710</v>
      </c>
      <c r="E2" s="90" t="s">
        <v>3685</v>
      </c>
      <c r="H2" s="561"/>
      <c r="K2" s="573">
        <v>0</v>
      </c>
      <c r="L2" s="89" t="s">
        <v>3677</v>
      </c>
    </row>
    <row r="3" spans="1:55" ht="15" customHeight="1" thickBot="1">
      <c r="A3" s="695">
        <v>2020</v>
      </c>
      <c r="B3"/>
      <c r="C3"/>
      <c r="D3"/>
      <c r="E3" s="90" t="s">
        <v>3686</v>
      </c>
      <c r="K3" s="573">
        <v>1E-3</v>
      </c>
      <c r="L3" s="89" t="s">
        <v>3678</v>
      </c>
      <c r="N3"/>
      <c r="O3"/>
      <c r="P3"/>
      <c r="Q3"/>
    </row>
    <row r="4" spans="1:55" ht="15" customHeight="1" thickBot="1">
      <c r="A4" s="435"/>
      <c r="B4" s="436"/>
      <c r="C4" s="436"/>
      <c r="D4" s="436"/>
      <c r="E4" s="700" t="s">
        <v>91</v>
      </c>
      <c r="F4" s="701"/>
      <c r="G4" s="702"/>
      <c r="H4" s="700" t="s">
        <v>3652</v>
      </c>
      <c r="I4" s="701"/>
      <c r="J4" s="701"/>
      <c r="K4" s="702"/>
      <c r="L4" s="451" t="s">
        <v>3682</v>
      </c>
      <c r="M4" s="451"/>
      <c r="N4" s="451"/>
      <c r="O4" s="451"/>
      <c r="P4" s="558" t="s">
        <v>3681</v>
      </c>
      <c r="Q4" s="489"/>
      <c r="R4" s="125"/>
      <c r="S4" s="724" t="s">
        <v>3705</v>
      </c>
      <c r="T4" s="716" t="s">
        <v>3706</v>
      </c>
      <c r="U4" s="717"/>
      <c r="V4" s="718"/>
      <c r="W4" s="652"/>
      <c r="X4" s="722" t="s">
        <v>3702</v>
      </c>
      <c r="Y4" s="723"/>
      <c r="AA4" s="713" t="s">
        <v>5</v>
      </c>
      <c r="AB4" s="730" t="s">
        <v>3610</v>
      </c>
      <c r="AC4" s="731"/>
      <c r="AD4" s="731"/>
      <c r="AE4" s="732"/>
      <c r="AG4" s="710" t="s">
        <v>5</v>
      </c>
      <c r="AH4" s="704" t="s">
        <v>79</v>
      </c>
      <c r="AI4" s="705"/>
      <c r="AJ4" s="706"/>
      <c r="AK4" s="704" t="s">
        <v>76</v>
      </c>
      <c r="AL4" s="705"/>
      <c r="AM4" s="706"/>
      <c r="AN4" s="726" t="s">
        <v>3613</v>
      </c>
      <c r="AO4" s="727"/>
      <c r="AR4" s="479" t="s">
        <v>3673</v>
      </c>
    </row>
    <row r="5" spans="1:55" ht="15" customHeight="1" thickBot="1">
      <c r="A5" s="439" t="s">
        <v>5</v>
      </c>
      <c r="B5" s="440" t="s">
        <v>81</v>
      </c>
      <c r="C5" s="696" t="s">
        <v>72</v>
      </c>
      <c r="D5" s="697" t="s">
        <v>3653</v>
      </c>
      <c r="E5" s="441" t="s">
        <v>89</v>
      </c>
      <c r="F5" s="440" t="s">
        <v>90</v>
      </c>
      <c r="G5" s="491">
        <v>-0.33</v>
      </c>
      <c r="H5" s="466" t="s">
        <v>3712</v>
      </c>
      <c r="I5" s="437" t="s">
        <v>2</v>
      </c>
      <c r="J5" s="559" t="s">
        <v>3683</v>
      </c>
      <c r="K5" s="438" t="s">
        <v>2</v>
      </c>
      <c r="L5" s="465">
        <v>2.1999999999999999E-2</v>
      </c>
      <c r="M5" s="460">
        <v>0.04</v>
      </c>
      <c r="N5" s="442">
        <v>0.06</v>
      </c>
      <c r="O5" s="442">
        <v>0.08</v>
      </c>
      <c r="P5" s="557">
        <v>7.6999999999999999E-2</v>
      </c>
      <c r="Q5" s="443">
        <v>0.06</v>
      </c>
      <c r="R5" s="123"/>
      <c r="S5" s="725"/>
      <c r="T5" s="675">
        <v>30000</v>
      </c>
      <c r="U5" s="676">
        <v>0.06</v>
      </c>
      <c r="V5" s="719" t="s">
        <v>3700</v>
      </c>
      <c r="W5" s="720" t="s">
        <v>3701</v>
      </c>
      <c r="X5" s="452">
        <v>500000</v>
      </c>
      <c r="Y5" s="655">
        <v>500000</v>
      </c>
      <c r="Z5" s="277"/>
      <c r="AA5" s="714"/>
      <c r="AB5" s="730" t="s">
        <v>3614</v>
      </c>
      <c r="AC5" s="732"/>
      <c r="AD5" s="733" t="s">
        <v>3613</v>
      </c>
      <c r="AE5" s="734"/>
      <c r="AF5" s="290"/>
      <c r="AG5" s="711"/>
      <c r="AH5" s="707"/>
      <c r="AI5" s="708"/>
      <c r="AJ5" s="709"/>
      <c r="AK5" s="255">
        <v>1</v>
      </c>
      <c r="AL5" s="256"/>
      <c r="AM5" s="257"/>
      <c r="AN5" s="728"/>
      <c r="AO5" s="729"/>
      <c r="AR5" s="479"/>
    </row>
    <row r="6" spans="1:55" s="93" customFormat="1" ht="15" customHeight="1" thickBot="1">
      <c r="A6" s="450" t="s">
        <v>3651</v>
      </c>
      <c r="B6" s="453"/>
      <c r="C6" s="444"/>
      <c r="D6" s="452">
        <v>1000000</v>
      </c>
      <c r="E6" s="492"/>
      <c r="F6" s="493">
        <f>D6</f>
        <v>1000000</v>
      </c>
      <c r="G6" s="494">
        <f>$D6</f>
        <v>1000000</v>
      </c>
      <c r="H6" s="495">
        <v>0</v>
      </c>
      <c r="I6" s="496">
        <f>$D6</f>
        <v>1000000</v>
      </c>
      <c r="J6" s="560">
        <v>1</v>
      </c>
      <c r="K6" s="648">
        <f t="shared" ref="K6:P6" si="0">$D6</f>
        <v>1000000</v>
      </c>
      <c r="L6" s="649">
        <f t="shared" si="0"/>
        <v>1000000</v>
      </c>
      <c r="M6" s="650">
        <f t="shared" si="0"/>
        <v>1000000</v>
      </c>
      <c r="N6" s="651">
        <f t="shared" si="0"/>
        <v>1000000</v>
      </c>
      <c r="O6" s="651">
        <f t="shared" si="0"/>
        <v>1000000</v>
      </c>
      <c r="P6" s="651">
        <f t="shared" si="0"/>
        <v>1000000</v>
      </c>
      <c r="Q6" s="497">
        <f>D6</f>
        <v>1000000</v>
      </c>
      <c r="R6" s="124"/>
      <c r="S6" s="677"/>
      <c r="T6" s="483" t="s">
        <v>3699</v>
      </c>
      <c r="U6" s="674" t="s">
        <v>3674</v>
      </c>
      <c r="V6" s="719"/>
      <c r="W6" s="721"/>
      <c r="X6" s="653" t="s">
        <v>3704</v>
      </c>
      <c r="Y6" s="654" t="s">
        <v>3703</v>
      </c>
      <c r="Z6" s="291"/>
      <c r="AA6" s="715"/>
      <c r="AB6" s="274" t="s">
        <v>100</v>
      </c>
      <c r="AC6" s="275" t="s">
        <v>3611</v>
      </c>
      <c r="AD6" s="276" t="s">
        <v>100</v>
      </c>
      <c r="AE6" s="275" t="s">
        <v>3611</v>
      </c>
      <c r="AF6" s="286"/>
      <c r="AG6" s="712"/>
      <c r="AH6" s="247" t="s">
        <v>73</v>
      </c>
      <c r="AI6" s="248" t="s">
        <v>74</v>
      </c>
      <c r="AJ6" s="249" t="s">
        <v>75</v>
      </c>
      <c r="AK6" s="248" t="s">
        <v>73</v>
      </c>
      <c r="AL6" s="248" t="s">
        <v>74</v>
      </c>
      <c r="AM6" s="248" t="s">
        <v>75</v>
      </c>
      <c r="AN6" s="287" t="s">
        <v>89</v>
      </c>
      <c r="AO6" s="289" t="s">
        <v>3612</v>
      </c>
      <c r="AP6" s="242"/>
      <c r="AQ6" s="485" t="s">
        <v>5</v>
      </c>
      <c r="AR6" s="485" t="s">
        <v>3670</v>
      </c>
      <c r="AS6" s="485" t="s">
        <v>3671</v>
      </c>
      <c r="AT6" s="485" t="s">
        <v>3672</v>
      </c>
      <c r="AU6" s="242"/>
      <c r="AV6" s="242"/>
      <c r="AW6" s="242"/>
      <c r="AX6" s="242"/>
      <c r="AY6" s="242"/>
      <c r="AZ6" s="242"/>
      <c r="BA6" s="242"/>
      <c r="BB6" s="242"/>
      <c r="BC6" s="242"/>
    </row>
    <row r="7" spans="1:55" s="101" customFormat="1" ht="15" customHeight="1">
      <c r="A7" s="449">
        <v>1929</v>
      </c>
      <c r="B7" s="454">
        <v>1</v>
      </c>
      <c r="C7" s="445">
        <v>0</v>
      </c>
      <c r="D7" s="452">
        <v>-50000</v>
      </c>
      <c r="E7" s="446">
        <f t="shared" ref="E7:E38" si="1">IF($A$7&gt;0,LOOKUP(MOD(B7-1,(A$3-A$7+1))+A$7,AQ$7:AQ$112,AT$7:AT$112),11)/100</f>
        <v>-8.4199999999999997E-2</v>
      </c>
      <c r="F7" s="107">
        <f>FV((1+E7-K$2)^(1/12)-1,12,-C7,-(F6+D7),1)</f>
        <v>870009.99999999988</v>
      </c>
      <c r="G7" s="107">
        <f t="shared" ref="G7:G38" si="2">FV((1+E7-K$3)^(1/12)-1,12,-C7,-(G6+D7),1) + (G6+D7)*IF($A$7&gt;0,LOOKUP(MOD(B7-1,(A$3-A$7+1))+A$7,AQ$7:AQ$112,AS$7:AS$112),11)/100*$G$5</f>
        <v>858118.84999999974</v>
      </c>
      <c r="H7" s="526">
        <f t="shared" ref="H7:H38" si="3">MIN(MAX(IF($A$7&gt;0,LOOKUP(MOD(B7-1,(A$3-A$7+1))+A$7,AQ$7:AQ$112,AR$7:AR$112),11)/100,B$1),A$1) - $H$6/100</f>
        <v>0</v>
      </c>
      <c r="I7" s="447">
        <f>FV((1+H7)^(1/12)-1,12,-C7,-(I6+D7),1)</f>
        <v>950000</v>
      </c>
      <c r="J7" s="448">
        <f ca="1">-OFFSET(FFIUL!Q3:Q67,J$6-1,0,1,1)</f>
        <v>-3958</v>
      </c>
      <c r="K7" s="119">
        <f ca="1">FV((1+H7)^(1/12)-1,12,-C7,-(K6+D7+J7),1)</f>
        <v>946042</v>
      </c>
      <c r="L7" s="461">
        <f>FV((1+L$5)^(1/12)-1,12,-$C7,-($M$6+$D7),1)</f>
        <v>970900.00000000047</v>
      </c>
      <c r="M7" s="134">
        <f>FV((1+M$5)^(1/12)-1,12,-$C7,-($M$6+$D7),1)</f>
        <v>988000.00000000047</v>
      </c>
      <c r="N7" s="106">
        <f>FV((1+N$5)^(1/12)-1,12,-$C7,-($D$6+$D7),1)</f>
        <v>1007000.0000000007</v>
      </c>
      <c r="O7" s="106">
        <f>FV((1+O$5)^(1/12)-1,12,-$C7,-($O$6+$D7),1)</f>
        <v>1025999.9999999999</v>
      </c>
      <c r="P7" s="107">
        <f ca="1">FV((1+P$5)^(1/12)-1.0006,12,-$C7,-(P6+$D7),1) + FV((1+P$5)^(1/12)-1.0006,12,-J7/12,0,1)</f>
        <v>1011747.5894837419</v>
      </c>
      <c r="Q7" s="106">
        <f ca="1">FV((1+Q$5)^(1/12)-1.0006,12,-$C7,-(Q6+$D7),1) + FV((1+Q$5)^(1/12)-1.0006,12,-J7/12,0,1)</f>
        <v>995738.84100068139</v>
      </c>
      <c r="R7" s="122"/>
      <c r="S7" s="657">
        <v>1</v>
      </c>
      <c r="T7" s="670">
        <f>T5*(1+U5)</f>
        <v>31800</v>
      </c>
      <c r="U7" s="496">
        <f>T5*U$5</f>
        <v>1800</v>
      </c>
      <c r="V7" s="671">
        <f>(T5+0)*(1+H7)-T7</f>
        <v>-1800</v>
      </c>
      <c r="W7" s="662">
        <f>V7</f>
        <v>-1800</v>
      </c>
      <c r="X7" s="669">
        <f ca="1">IF(X5&gt;T5, FV((1+H7)^(1/12)-1,12,0,-(X5+W7+J7),1), 0)</f>
        <v>494242</v>
      </c>
      <c r="Y7" s="669">
        <f>IF(Y5&gt;T5,FV((1+H7)^(1/12)-1,12,0,-(Y5+W7),1),0)</f>
        <v>498200</v>
      </c>
      <c r="Z7" s="285"/>
      <c r="AA7" s="293">
        <v>1928</v>
      </c>
      <c r="AB7" s="264"/>
      <c r="AC7" s="264"/>
      <c r="AD7" s="264"/>
      <c r="AE7" s="258"/>
      <c r="AF7" s="264"/>
      <c r="AG7" s="264">
        <v>1928</v>
      </c>
      <c r="AH7" s="265">
        <v>0.43809999999999999</v>
      </c>
      <c r="AI7" s="259">
        <v>3.0800000000000001E-2</v>
      </c>
      <c r="AJ7" s="266">
        <v>8.3999999999999995E-3</v>
      </c>
      <c r="AK7" s="254">
        <f>$AK$5*(1+AH7)</f>
        <v>1.4380999999999999</v>
      </c>
      <c r="AL7" s="254">
        <f>$AK$5*(1+AI7)</f>
        <v>1.0307999999999999</v>
      </c>
      <c r="AM7" s="254">
        <f>$AK$5*(1+AJ7)</f>
        <v>1.0084</v>
      </c>
      <c r="AN7" s="284">
        <f t="shared" ref="AN7:AN38" si="4">IF(AH7&gt;A$1,A$1,IF(AH7&lt;B$1,B$1,AH7))</f>
        <v>0.12</v>
      </c>
      <c r="AO7" s="278">
        <f>1+AN7</f>
        <v>1.1200000000000001</v>
      </c>
      <c r="AP7" s="478"/>
      <c r="AQ7" s="480">
        <v>1928</v>
      </c>
      <c r="AR7" s="480">
        <v>37.880000000000003</v>
      </c>
      <c r="AS7" s="480">
        <v>5.73</v>
      </c>
      <c r="AT7" s="480">
        <v>43.61</v>
      </c>
      <c r="AU7" s="478"/>
      <c r="AV7" s="478"/>
      <c r="AW7" s="478"/>
      <c r="AX7" s="478"/>
      <c r="AY7" s="478"/>
      <c r="AZ7" s="478"/>
      <c r="BA7" s="243"/>
      <c r="BB7" s="243"/>
      <c r="BC7" s="243"/>
    </row>
    <row r="8" spans="1:55" s="101" customFormat="1" ht="15" customHeight="1">
      <c r="A8" s="208">
        <f>A7+1</f>
        <v>1930</v>
      </c>
      <c r="B8" s="109">
        <v>2</v>
      </c>
      <c r="C8" s="445">
        <v>0</v>
      </c>
      <c r="D8" s="452">
        <v>-50000</v>
      </c>
      <c r="E8" s="446">
        <f t="shared" si="1"/>
        <v>-0.249</v>
      </c>
      <c r="F8" s="107">
        <f t="shared" ref="F8:F56" si="5">FV((1+E8-K$2)^(1/12)-1,12,-C8,-(F7+D8),1)</f>
        <v>615827.50999999943</v>
      </c>
      <c r="G8" s="107">
        <f t="shared" si="2"/>
        <v>596542.02140610002</v>
      </c>
      <c r="H8" s="526">
        <f t="shared" si="3"/>
        <v>0</v>
      </c>
      <c r="I8" s="118">
        <f>FV((1+H8)^(1/12)-1,12,-C8,-(I7+D8),1)</f>
        <v>900000</v>
      </c>
      <c r="J8" s="448">
        <f ca="1">-OFFSET(FFIUL!Q4:Q68,J$6-1,0,1,1)</f>
        <v>-4009</v>
      </c>
      <c r="K8" s="119">
        <f t="shared" ref="K8:K56" ca="1" si="6">FV((1+H8)^(1/12)-1,12,-C8,-(K7+D8+J8),1)</f>
        <v>892033</v>
      </c>
      <c r="L8" s="462">
        <f t="shared" ref="L8:L39" si="7">FV((1+L$5)^(1/12)-1,12,-$C8,-(L7+$D8),1)</f>
        <v>941159.80000000086</v>
      </c>
      <c r="M8" s="133">
        <f t="shared" ref="M8:M39" si="8">FV((1+M$5)^(1/12)-1,12,-$C8,-(M7+$D8),1)</f>
        <v>975520.00000000093</v>
      </c>
      <c r="N8" s="107">
        <f t="shared" ref="N8:N39" si="9">FV((1+N$5)^(1/12)-1,12,-$C8,-(N7+$D8),1)</f>
        <v>1014420.0000000014</v>
      </c>
      <c r="O8" s="107">
        <f t="shared" ref="O8:O39" si="10">FV((1+O$5)^(1/12)-1,12,-$C8,-(O7+$D8),1)</f>
        <v>1054079.9999999998</v>
      </c>
      <c r="P8" s="107">
        <f t="shared" ref="P8:P56" ca="1" si="11">FV((1+P$5)^(1/12)-1.0006,12,-$C8,-(P7+$D8),1) + FV((1+P$5)^(1/12)-1.0006,12,-J8/12,0,1)</f>
        <v>1024256.6102421185</v>
      </c>
      <c r="Q8" s="106">
        <f t="shared" ref="Q8:Q56" ca="1" si="12">FV((1+Q$5)^(1/12)-1.0006,12,-$C8,-(Q7+$D8),1) + FV((1+Q$5)^(1/12)-1.0006,12,-J8/12,0,1)</f>
        <v>991201.83295617672</v>
      </c>
      <c r="R8" s="122"/>
      <c r="S8" s="658">
        <v>2</v>
      </c>
      <c r="T8" s="670">
        <f t="shared" ref="T8:T39" si="13">(T7+T$5)*(1+U$5)</f>
        <v>65508</v>
      </c>
      <c r="U8" s="496">
        <f t="shared" ref="U8:U39" si="14">(T7+T$5)*U$5</f>
        <v>3708</v>
      </c>
      <c r="V8" s="671">
        <f t="shared" ref="V8:V39" si="15">(T7+T$5)*(1+H8)-T8</f>
        <v>-3708</v>
      </c>
      <c r="W8" s="662">
        <f t="shared" ref="W8:W56" si="16">V8</f>
        <v>-3708</v>
      </c>
      <c r="X8" s="669">
        <f t="shared" ref="X8:X56" ca="1" si="17">IF(X7&gt;T7, FV((1+H8)^(1/12)-1,12,0,-(X7+W8+J8),1), 0)</f>
        <v>486525</v>
      </c>
      <c r="Y8" s="669">
        <f t="shared" ref="Y8:Y56" si="18">IF(Y7&gt;T7,FV((1+H8)^(1/12)-1,12,0,-(Y7+W8),1),0)</f>
        <v>494492</v>
      </c>
      <c r="Z8" s="285"/>
      <c r="AA8" s="293">
        <v>1929</v>
      </c>
      <c r="AB8" s="250"/>
      <c r="AC8" s="250"/>
      <c r="AD8" s="250"/>
      <c r="AE8" s="260"/>
      <c r="AF8" s="250"/>
      <c r="AG8" s="250">
        <v>1929</v>
      </c>
      <c r="AH8" s="251">
        <v>-8.3000000000000004E-2</v>
      </c>
      <c r="AI8" s="252">
        <v>3.1600000000000003E-2</v>
      </c>
      <c r="AJ8" s="253">
        <v>4.2000000000000003E-2</v>
      </c>
      <c r="AK8" s="256">
        <f>AK7*(1+AH8)</f>
        <v>1.3187377</v>
      </c>
      <c r="AL8" s="256">
        <f>AL7*(1+AI8)</f>
        <v>1.06337328</v>
      </c>
      <c r="AM8" s="256">
        <f>AM7*(1+AJ8)</f>
        <v>1.0507527999999999</v>
      </c>
      <c r="AN8" s="282">
        <f t="shared" si="4"/>
        <v>0</v>
      </c>
      <c r="AO8" s="279">
        <f>AO7*(1+AN8)</f>
        <v>1.1200000000000001</v>
      </c>
      <c r="AP8" s="478"/>
      <c r="AQ8" s="481">
        <v>1929</v>
      </c>
      <c r="AR8" s="481">
        <v>-11.91</v>
      </c>
      <c r="AS8" s="481">
        <v>3.49</v>
      </c>
      <c r="AT8" s="481">
        <v>-8.42</v>
      </c>
      <c r="AU8" s="478"/>
      <c r="AV8" s="478"/>
      <c r="AW8" s="478"/>
      <c r="AX8" s="478"/>
      <c r="AY8" s="478"/>
      <c r="AZ8" s="478"/>
      <c r="BA8" s="243"/>
      <c r="BB8" s="243"/>
      <c r="BC8" s="243"/>
    </row>
    <row r="9" spans="1:55" s="101" customFormat="1" ht="15" customHeight="1">
      <c r="A9" s="209">
        <f t="shared" ref="A9:A56" si="19">A8+1</f>
        <v>1931</v>
      </c>
      <c r="B9" s="105">
        <v>3</v>
      </c>
      <c r="C9" s="445">
        <v>0</v>
      </c>
      <c r="D9" s="452">
        <v>-50000</v>
      </c>
      <c r="E9" s="446">
        <f t="shared" si="1"/>
        <v>-0.43340000000000001</v>
      </c>
      <c r="F9" s="107">
        <f t="shared" si="5"/>
        <v>320597.86716599966</v>
      </c>
      <c r="G9" s="107">
        <f t="shared" si="2"/>
        <v>302396.78156580229</v>
      </c>
      <c r="H9" s="526">
        <f t="shared" si="3"/>
        <v>0</v>
      </c>
      <c r="I9" s="119">
        <f t="shared" ref="I9:I56" si="20">FV((1+H9)^(1/12)-1,12,-C9,-(I8+D9),1)</f>
        <v>850000</v>
      </c>
      <c r="J9" s="448">
        <f ca="1">-OFFSET(FFIUL!Q5:Q69,J$6-1,0,1,1)</f>
        <v>-4156</v>
      </c>
      <c r="K9" s="119">
        <f t="shared" ca="1" si="6"/>
        <v>837877</v>
      </c>
      <c r="L9" s="461">
        <f t="shared" si="7"/>
        <v>910765.31560000125</v>
      </c>
      <c r="M9" s="134">
        <f t="shared" si="8"/>
        <v>962540.80000000144</v>
      </c>
      <c r="N9" s="106">
        <f t="shared" si="9"/>
        <v>1022285.2000000022</v>
      </c>
      <c r="O9" s="106">
        <f t="shared" si="10"/>
        <v>1084406.3999999997</v>
      </c>
      <c r="P9" s="107">
        <f t="shared" ca="1" si="11"/>
        <v>1037480.2759721447</v>
      </c>
      <c r="Q9" s="106">
        <f t="shared" ca="1" si="12"/>
        <v>986275.80807058827</v>
      </c>
      <c r="R9" s="122"/>
      <c r="S9" s="657">
        <v>3</v>
      </c>
      <c r="T9" s="670">
        <f t="shared" si="13"/>
        <v>101238.48000000001</v>
      </c>
      <c r="U9" s="496">
        <f t="shared" si="14"/>
        <v>5730.48</v>
      </c>
      <c r="V9" s="671">
        <f t="shared" si="15"/>
        <v>-5730.4800000000105</v>
      </c>
      <c r="W9" s="662">
        <f t="shared" si="16"/>
        <v>-5730.4800000000105</v>
      </c>
      <c r="X9" s="669">
        <f t="shared" ca="1" si="17"/>
        <v>476638.52</v>
      </c>
      <c r="Y9" s="669">
        <f t="shared" si="18"/>
        <v>488761.52</v>
      </c>
      <c r="Z9" s="285"/>
      <c r="AA9" s="293">
        <v>1930</v>
      </c>
      <c r="AB9" s="250"/>
      <c r="AC9" s="250"/>
      <c r="AD9" s="250"/>
      <c r="AE9" s="260"/>
      <c r="AF9" s="250"/>
      <c r="AG9" s="250">
        <v>1930</v>
      </c>
      <c r="AH9" s="251">
        <v>-0.25119999999999998</v>
      </c>
      <c r="AI9" s="252">
        <v>4.5499999999999999E-2</v>
      </c>
      <c r="AJ9" s="253">
        <v>4.5400000000000003E-2</v>
      </c>
      <c r="AK9" s="256">
        <f t="shared" ref="AK9:AM24" si="21">AK8*(1+AH9)</f>
        <v>0.98747078976000002</v>
      </c>
      <c r="AL9" s="256">
        <f t="shared" si="21"/>
        <v>1.1117567642400001</v>
      </c>
      <c r="AM9" s="256">
        <f t="shared" si="21"/>
        <v>1.0984569771200001</v>
      </c>
      <c r="AN9" s="282">
        <f t="shared" si="4"/>
        <v>0</v>
      </c>
      <c r="AO9" s="279">
        <f t="shared" ref="AO9:AO72" si="22">AO8*(1+AN9)</f>
        <v>1.1200000000000001</v>
      </c>
      <c r="AP9" s="478"/>
      <c r="AQ9" s="482">
        <v>1930</v>
      </c>
      <c r="AR9" s="482">
        <v>-28.48</v>
      </c>
      <c r="AS9" s="482">
        <v>3.58</v>
      </c>
      <c r="AT9" s="482">
        <v>-24.9</v>
      </c>
      <c r="AU9" s="478"/>
      <c r="AV9" s="478"/>
      <c r="AW9" s="478"/>
      <c r="AX9" s="478"/>
      <c r="AY9" s="478"/>
      <c r="AZ9" s="478"/>
      <c r="BA9" s="243"/>
      <c r="BB9" s="243"/>
      <c r="BC9" s="243"/>
    </row>
    <row r="10" spans="1:55" s="101" customFormat="1" ht="15" customHeight="1" thickBot="1">
      <c r="A10" s="210">
        <f t="shared" si="19"/>
        <v>1932</v>
      </c>
      <c r="B10" s="111">
        <v>4</v>
      </c>
      <c r="C10" s="445">
        <v>0</v>
      </c>
      <c r="D10" s="452">
        <v>-50000</v>
      </c>
      <c r="E10" s="498">
        <f t="shared" si="1"/>
        <v>-8.1900000000000001E-2</v>
      </c>
      <c r="F10" s="499">
        <f t="shared" si="5"/>
        <v>248435.90184510441</v>
      </c>
      <c r="G10" s="499">
        <f t="shared" si="2"/>
        <v>225984.21556528594</v>
      </c>
      <c r="H10" s="527">
        <f t="shared" si="3"/>
        <v>0</v>
      </c>
      <c r="I10" s="120">
        <f t="shared" si="20"/>
        <v>800000</v>
      </c>
      <c r="J10" s="448">
        <f ca="1">-OFFSET(FFIUL!Q6:Q70,J$6-1,0,1,1)</f>
        <v>-4204</v>
      </c>
      <c r="K10" s="120">
        <f t="shared" ca="1" si="6"/>
        <v>783673</v>
      </c>
      <c r="L10" s="463">
        <f t="shared" si="7"/>
        <v>879702.15254320169</v>
      </c>
      <c r="M10" s="135">
        <f t="shared" si="8"/>
        <v>949042.43200000189</v>
      </c>
      <c r="N10" s="112">
        <f t="shared" si="9"/>
        <v>1030622.3120000029</v>
      </c>
      <c r="O10" s="112">
        <f t="shared" si="10"/>
        <v>1117158.9119999995</v>
      </c>
      <c r="P10" s="499">
        <f t="shared" ca="1" si="11"/>
        <v>1051570.8040225471</v>
      </c>
      <c r="Q10" s="112">
        <f t="shared" ca="1" si="12"/>
        <v>981042.15984666441</v>
      </c>
      <c r="R10" s="122"/>
      <c r="S10" s="659">
        <v>4</v>
      </c>
      <c r="T10" s="670">
        <f t="shared" si="13"/>
        <v>139112.78880000001</v>
      </c>
      <c r="U10" s="496">
        <f t="shared" si="14"/>
        <v>7874.3088000000007</v>
      </c>
      <c r="V10" s="671">
        <f t="shared" si="15"/>
        <v>-7874.3087999999989</v>
      </c>
      <c r="W10" s="662">
        <f t="shared" si="16"/>
        <v>-7874.3087999999989</v>
      </c>
      <c r="X10" s="669">
        <f t="shared" ca="1" si="17"/>
        <v>464560.21120000002</v>
      </c>
      <c r="Y10" s="669">
        <f t="shared" si="18"/>
        <v>480887.21120000002</v>
      </c>
      <c r="Z10" s="285"/>
      <c r="AA10" s="293">
        <v>1931</v>
      </c>
      <c r="AB10" s="250"/>
      <c r="AC10" s="250"/>
      <c r="AD10" s="250"/>
      <c r="AE10" s="260"/>
      <c r="AF10" s="250"/>
      <c r="AG10" s="250">
        <v>1931</v>
      </c>
      <c r="AH10" s="251">
        <v>-0.43840000000000001</v>
      </c>
      <c r="AI10" s="252">
        <v>2.3099999999999999E-2</v>
      </c>
      <c r="AJ10" s="253">
        <v>-2.5600000000000001E-2</v>
      </c>
      <c r="AK10" s="256">
        <f t="shared" si="21"/>
        <v>0.55456359552921597</v>
      </c>
      <c r="AL10" s="256">
        <f t="shared" si="21"/>
        <v>1.1374383454939441</v>
      </c>
      <c r="AM10" s="256">
        <f t="shared" si="21"/>
        <v>1.0703364785057281</v>
      </c>
      <c r="AN10" s="282">
        <f t="shared" si="4"/>
        <v>0</v>
      </c>
      <c r="AO10" s="279">
        <f t="shared" si="22"/>
        <v>1.1200000000000001</v>
      </c>
      <c r="AP10" s="478"/>
      <c r="AQ10" s="482">
        <v>1931</v>
      </c>
      <c r="AR10" s="482">
        <v>-47.07</v>
      </c>
      <c r="AS10" s="482">
        <v>3.73</v>
      </c>
      <c r="AT10" s="482">
        <v>-43.34</v>
      </c>
      <c r="AU10" s="478"/>
      <c r="AV10" s="478"/>
      <c r="AW10" s="478"/>
      <c r="AX10" s="478"/>
      <c r="AY10" s="478"/>
      <c r="AZ10" s="478"/>
      <c r="BA10" s="243"/>
      <c r="BB10" s="243"/>
      <c r="BC10" s="243"/>
    </row>
    <row r="11" spans="1:55" s="95" customFormat="1" ht="15" customHeight="1" thickBot="1">
      <c r="A11" s="116">
        <f t="shared" si="19"/>
        <v>1933</v>
      </c>
      <c r="B11" s="117">
        <v>5</v>
      </c>
      <c r="C11" s="445">
        <v>0</v>
      </c>
      <c r="D11" s="452">
        <v>-50000</v>
      </c>
      <c r="E11" s="562">
        <f t="shared" si="1"/>
        <v>0.53990000000000005</v>
      </c>
      <c r="F11" s="563">
        <f t="shared" si="5"/>
        <v>305571.44525127654</v>
      </c>
      <c r="G11" s="563">
        <f t="shared" si="2"/>
        <v>265066.89753178664</v>
      </c>
      <c r="H11" s="564">
        <f t="shared" si="3"/>
        <v>0.12</v>
      </c>
      <c r="I11" s="113">
        <f t="shared" si="20"/>
        <v>840000.00000000105</v>
      </c>
      <c r="J11" s="448">
        <f ca="1">-OFFSET(FFIUL!Q7:Q71,J$6-1,0,1,1)</f>
        <v>-4211</v>
      </c>
      <c r="K11" s="113">
        <f t="shared" ca="1" si="6"/>
        <v>816997.44000000099</v>
      </c>
      <c r="L11" s="464">
        <f t="shared" si="7"/>
        <v>847955.59989915253</v>
      </c>
      <c r="M11" s="136">
        <f t="shared" si="8"/>
        <v>935004.12928000244</v>
      </c>
      <c r="N11" s="115">
        <f t="shared" si="9"/>
        <v>1039459.6507200039</v>
      </c>
      <c r="O11" s="115">
        <f t="shared" si="10"/>
        <v>1152531.6249599995</v>
      </c>
      <c r="P11" s="115">
        <f t="shared" ca="1" si="11"/>
        <v>1066630.8077749445</v>
      </c>
      <c r="Q11" s="114">
        <f t="shared" ca="1" si="12"/>
        <v>975526.91492499015</v>
      </c>
      <c r="R11" s="122"/>
      <c r="S11" s="660">
        <v>5</v>
      </c>
      <c r="T11" s="670">
        <f t="shared" si="13"/>
        <v>179259.55612800003</v>
      </c>
      <c r="U11" s="496">
        <f t="shared" si="14"/>
        <v>10146.767328</v>
      </c>
      <c r="V11" s="671">
        <f t="shared" si="15"/>
        <v>10146.767328000016</v>
      </c>
      <c r="W11" s="662">
        <f t="shared" si="16"/>
        <v>10146.767328000016</v>
      </c>
      <c r="X11" s="669">
        <f t="shared" ca="1" si="17"/>
        <v>526955.49595136079</v>
      </c>
      <c r="Y11" s="669">
        <f t="shared" si="18"/>
        <v>549958.05595136073</v>
      </c>
      <c r="Z11" s="285"/>
      <c r="AA11" s="293">
        <v>1932</v>
      </c>
      <c r="AB11" s="250"/>
      <c r="AC11" s="250"/>
      <c r="AD11" s="250"/>
      <c r="AE11" s="260"/>
      <c r="AF11" s="250"/>
      <c r="AG11" s="250">
        <v>1932</v>
      </c>
      <c r="AH11" s="251">
        <v>-8.6400000000000005E-2</v>
      </c>
      <c r="AI11" s="252">
        <v>1.0699999999999999E-2</v>
      </c>
      <c r="AJ11" s="253">
        <v>8.7900000000000006E-2</v>
      </c>
      <c r="AK11" s="256">
        <f t="shared" si="21"/>
        <v>0.50664930087549165</v>
      </c>
      <c r="AL11" s="256">
        <f t="shared" si="21"/>
        <v>1.1496089357907291</v>
      </c>
      <c r="AM11" s="256">
        <f t="shared" si="21"/>
        <v>1.1644190549663818</v>
      </c>
      <c r="AN11" s="282">
        <f t="shared" si="4"/>
        <v>0</v>
      </c>
      <c r="AO11" s="279">
        <f t="shared" si="22"/>
        <v>1.1200000000000001</v>
      </c>
      <c r="AP11" s="244"/>
      <c r="AQ11" s="482">
        <v>1932</v>
      </c>
      <c r="AR11" s="482">
        <v>-14.78</v>
      </c>
      <c r="AS11" s="482">
        <v>6.59</v>
      </c>
      <c r="AT11" s="482">
        <v>-8.19</v>
      </c>
      <c r="AU11" s="244"/>
      <c r="AV11" s="244"/>
      <c r="AW11" s="244"/>
      <c r="AX11" s="244"/>
      <c r="AY11" s="244"/>
      <c r="AZ11" s="244"/>
      <c r="BA11" s="244"/>
      <c r="BB11" s="244"/>
      <c r="BC11" s="244"/>
    </row>
    <row r="12" spans="1:55" s="102" customFormat="1" ht="15" customHeight="1">
      <c r="A12" s="208">
        <f t="shared" si="19"/>
        <v>1934</v>
      </c>
      <c r="B12" s="109">
        <v>6</v>
      </c>
      <c r="C12" s="445">
        <v>0</v>
      </c>
      <c r="D12" s="452">
        <v>-50000</v>
      </c>
      <c r="E12" s="108">
        <f t="shared" si="1"/>
        <v>-1.44E-2</v>
      </c>
      <c r="F12" s="107">
        <f t="shared" si="5"/>
        <v>251891.21643965805</v>
      </c>
      <c r="G12" s="107">
        <f t="shared" si="2"/>
        <v>209434.08041853175</v>
      </c>
      <c r="H12" s="529">
        <f t="shared" si="3"/>
        <v>0</v>
      </c>
      <c r="I12" s="118">
        <f t="shared" si="20"/>
        <v>790000.00000000105</v>
      </c>
      <c r="J12" s="448">
        <f ca="1">-OFFSET(FFIUL!Q8:Q72,J$6-1,0,1,1)</f>
        <v>-4239</v>
      </c>
      <c r="K12" s="118">
        <f t="shared" ca="1" si="6"/>
        <v>762758.44000000099</v>
      </c>
      <c r="L12" s="462">
        <f t="shared" si="7"/>
        <v>815510.62309693429</v>
      </c>
      <c r="M12" s="133">
        <f t="shared" si="8"/>
        <v>920404.29445120296</v>
      </c>
      <c r="N12" s="107">
        <f t="shared" si="9"/>
        <v>1048827.2297632049</v>
      </c>
      <c r="O12" s="107">
        <f t="shared" si="10"/>
        <v>1190734.1549567992</v>
      </c>
      <c r="P12" s="107">
        <f t="shared" ca="1" si="11"/>
        <v>1082705.709513129</v>
      </c>
      <c r="Q12" s="107">
        <f t="shared" ca="1" si="12"/>
        <v>969693.71749586379</v>
      </c>
      <c r="R12" s="122"/>
      <c r="S12" s="658">
        <v>6</v>
      </c>
      <c r="T12" s="670">
        <f t="shared" si="13"/>
        <v>221815.12949568004</v>
      </c>
      <c r="U12" s="496">
        <f t="shared" si="14"/>
        <v>12555.573367680001</v>
      </c>
      <c r="V12" s="671">
        <f t="shared" si="15"/>
        <v>-12555.573367680016</v>
      </c>
      <c r="W12" s="662">
        <f t="shared" si="16"/>
        <v>-12555.573367680016</v>
      </c>
      <c r="X12" s="669">
        <f t="shared" ca="1" si="17"/>
        <v>510160.92258368077</v>
      </c>
      <c r="Y12" s="669">
        <f t="shared" si="18"/>
        <v>537402.48258368066</v>
      </c>
      <c r="Z12" s="285"/>
      <c r="AA12" s="293">
        <v>1933</v>
      </c>
      <c r="AB12" s="250"/>
      <c r="AC12" s="250"/>
      <c r="AD12" s="250"/>
      <c r="AE12" s="260"/>
      <c r="AF12" s="250"/>
      <c r="AG12" s="250">
        <v>1933</v>
      </c>
      <c r="AH12" s="251">
        <v>0.49980000000000002</v>
      </c>
      <c r="AI12" s="252">
        <v>9.5999999999999992E-3</v>
      </c>
      <c r="AJ12" s="253">
        <v>1.8599999999999998E-2</v>
      </c>
      <c r="AK12" s="256">
        <f t="shared" si="21"/>
        <v>0.75987262145306234</v>
      </c>
      <c r="AL12" s="256">
        <f t="shared" si="21"/>
        <v>1.1606451815743202</v>
      </c>
      <c r="AM12" s="256">
        <f t="shared" si="21"/>
        <v>1.1860772493887564</v>
      </c>
      <c r="AN12" s="282">
        <f t="shared" si="4"/>
        <v>0.12</v>
      </c>
      <c r="AO12" s="279">
        <f t="shared" si="22"/>
        <v>1.2544000000000002</v>
      </c>
      <c r="AP12" s="478"/>
      <c r="AQ12" s="482">
        <v>1933</v>
      </c>
      <c r="AR12" s="482">
        <v>44.08</v>
      </c>
      <c r="AS12" s="482">
        <v>9.91</v>
      </c>
      <c r="AT12" s="482">
        <v>53.99</v>
      </c>
      <c r="AU12" s="478"/>
      <c r="AV12" s="478"/>
      <c r="AW12" s="478"/>
      <c r="AX12" s="478"/>
      <c r="AY12" s="478"/>
      <c r="AZ12" s="478"/>
      <c r="BA12" s="243"/>
      <c r="BB12" s="243"/>
      <c r="BC12" s="243"/>
    </row>
    <row r="13" spans="1:55" s="102" customFormat="1" ht="15" customHeight="1">
      <c r="A13" s="209">
        <f t="shared" si="19"/>
        <v>1935</v>
      </c>
      <c r="B13" s="105">
        <v>7</v>
      </c>
      <c r="C13" s="445">
        <v>0</v>
      </c>
      <c r="D13" s="452">
        <v>-50000</v>
      </c>
      <c r="E13" s="446">
        <f t="shared" si="1"/>
        <v>0.47670000000000001</v>
      </c>
      <c r="F13" s="107">
        <f t="shared" si="5"/>
        <v>298132.75931644323</v>
      </c>
      <c r="G13" s="107">
        <f t="shared" si="2"/>
        <v>231962.23794172579</v>
      </c>
      <c r="H13" s="526">
        <f t="shared" si="3"/>
        <v>0.12</v>
      </c>
      <c r="I13" s="119">
        <f t="shared" si="20"/>
        <v>828800.00000000221</v>
      </c>
      <c r="J13" s="448">
        <f ca="1">-OFFSET(FFIUL!Q9:Q73,J$6-1,0,1,1)</f>
        <v>-4274</v>
      </c>
      <c r="K13" s="119">
        <f t="shared" ca="1" si="6"/>
        <v>793502.57280000218</v>
      </c>
      <c r="L13" s="461">
        <f t="shared" si="7"/>
        <v>782351.85680506716</v>
      </c>
      <c r="M13" s="134">
        <f t="shared" si="8"/>
        <v>905220.46622925147</v>
      </c>
      <c r="N13" s="106">
        <f t="shared" si="9"/>
        <v>1058756.863548998</v>
      </c>
      <c r="O13" s="106">
        <f t="shared" si="10"/>
        <v>1231992.887353343</v>
      </c>
      <c r="P13" s="107">
        <f t="shared" ca="1" si="11"/>
        <v>1099858.6004145804</v>
      </c>
      <c r="Q13" s="106">
        <f t="shared" ca="1" si="12"/>
        <v>963518.70010867214</v>
      </c>
      <c r="R13" s="122"/>
      <c r="S13" s="657">
        <v>7</v>
      </c>
      <c r="T13" s="670">
        <f t="shared" si="13"/>
        <v>266924.03726542083</v>
      </c>
      <c r="U13" s="496">
        <f t="shared" si="14"/>
        <v>15108.907769740801</v>
      </c>
      <c r="V13" s="671">
        <f t="shared" si="15"/>
        <v>15108.90776974085</v>
      </c>
      <c r="W13" s="662">
        <f t="shared" si="16"/>
        <v>15108.90776974085</v>
      </c>
      <c r="X13" s="669">
        <f t="shared" ca="1" si="17"/>
        <v>583515.32999583299</v>
      </c>
      <c r="Y13" s="669">
        <f t="shared" si="18"/>
        <v>618812.75719583279</v>
      </c>
      <c r="Z13" s="285"/>
      <c r="AA13" s="293">
        <v>1934</v>
      </c>
      <c r="AB13" s="250"/>
      <c r="AC13" s="250"/>
      <c r="AD13" s="250"/>
      <c r="AE13" s="260"/>
      <c r="AF13" s="250"/>
      <c r="AG13" s="250">
        <v>1934</v>
      </c>
      <c r="AH13" s="251">
        <v>-1.1900000000000001E-2</v>
      </c>
      <c r="AI13" s="252">
        <v>3.2000000000000002E-3</v>
      </c>
      <c r="AJ13" s="253">
        <v>7.9600000000000004E-2</v>
      </c>
      <c r="AK13" s="256">
        <f t="shared" si="21"/>
        <v>0.75083013725777092</v>
      </c>
      <c r="AL13" s="256">
        <f t="shared" si="21"/>
        <v>1.164359246155358</v>
      </c>
      <c r="AM13" s="256">
        <f t="shared" si="21"/>
        <v>1.2804889984401016</v>
      </c>
      <c r="AN13" s="282">
        <f t="shared" si="4"/>
        <v>0</v>
      </c>
      <c r="AO13" s="279">
        <f t="shared" si="22"/>
        <v>1.2544000000000002</v>
      </c>
      <c r="AP13" s="478"/>
      <c r="AQ13" s="483">
        <v>1934</v>
      </c>
      <c r="AR13" s="483">
        <v>-4.71</v>
      </c>
      <c r="AS13" s="483">
        <v>3.27</v>
      </c>
      <c r="AT13" s="483">
        <v>-1.44</v>
      </c>
      <c r="AU13" s="478"/>
      <c r="AV13" s="478"/>
      <c r="AW13" s="478"/>
      <c r="AX13" s="478"/>
      <c r="AY13" s="478"/>
      <c r="AZ13" s="478"/>
      <c r="BA13" s="243"/>
      <c r="BB13" s="243"/>
      <c r="BC13" s="243"/>
    </row>
    <row r="14" spans="1:55" s="102" customFormat="1" ht="15" customHeight="1">
      <c r="A14" s="209">
        <f t="shared" si="19"/>
        <v>1936</v>
      </c>
      <c r="B14" s="105">
        <v>8</v>
      </c>
      <c r="C14" s="445">
        <v>0</v>
      </c>
      <c r="D14" s="452">
        <v>-50000</v>
      </c>
      <c r="E14" s="446">
        <f t="shared" si="1"/>
        <v>0.3392</v>
      </c>
      <c r="F14" s="107">
        <f t="shared" si="5"/>
        <v>332299.39127658051</v>
      </c>
      <c r="G14" s="107">
        <f t="shared" si="2"/>
        <v>239899.01450237131</v>
      </c>
      <c r="H14" s="526">
        <f t="shared" si="3"/>
        <v>0.12</v>
      </c>
      <c r="I14" s="119">
        <f t="shared" si="20"/>
        <v>872256.00000000361</v>
      </c>
      <c r="J14" s="448">
        <f ca="1">-OFFSET(FFIUL!Q10:Q74,J$6-1,0,1,1)</f>
        <v>-4325</v>
      </c>
      <c r="K14" s="119">
        <f t="shared" ca="1" si="6"/>
        <v>827878.88153600355</v>
      </c>
      <c r="L14" s="461">
        <f t="shared" si="7"/>
        <v>748463.59765477898</v>
      </c>
      <c r="M14" s="134">
        <f t="shared" si="8"/>
        <v>889429.28487842192</v>
      </c>
      <c r="N14" s="106">
        <f t="shared" si="9"/>
        <v>1069282.2753619386</v>
      </c>
      <c r="O14" s="106">
        <f t="shared" si="10"/>
        <v>1276552.3183416103</v>
      </c>
      <c r="P14" s="107">
        <f t="shared" ca="1" si="11"/>
        <v>1118147.6105813133</v>
      </c>
      <c r="Q14" s="106">
        <f t="shared" ca="1" si="12"/>
        <v>956967.49034548562</v>
      </c>
      <c r="R14" s="122"/>
      <c r="S14" s="657">
        <v>8</v>
      </c>
      <c r="T14" s="670">
        <f t="shared" si="13"/>
        <v>314739.47950134613</v>
      </c>
      <c r="U14" s="496">
        <f t="shared" si="14"/>
        <v>17815.442235925249</v>
      </c>
      <c r="V14" s="671">
        <f t="shared" si="15"/>
        <v>17815.442235925235</v>
      </c>
      <c r="W14" s="662">
        <f t="shared" si="16"/>
        <v>17815.442235925235</v>
      </c>
      <c r="X14" s="669">
        <f t="shared" ca="1" si="17"/>
        <v>668646.4648995701</v>
      </c>
      <c r="Y14" s="669">
        <f t="shared" si="18"/>
        <v>713023.58336356992</v>
      </c>
      <c r="Z14" s="285"/>
      <c r="AA14" s="293">
        <v>1935</v>
      </c>
      <c r="AB14" s="250"/>
      <c r="AC14" s="250"/>
      <c r="AD14" s="250"/>
      <c r="AE14" s="260"/>
      <c r="AF14" s="250"/>
      <c r="AG14" s="250">
        <v>1935</v>
      </c>
      <c r="AH14" s="251">
        <v>0.46739999999999998</v>
      </c>
      <c r="AI14" s="252">
        <v>1.8E-3</v>
      </c>
      <c r="AJ14" s="253">
        <v>4.4699999999999997E-2</v>
      </c>
      <c r="AK14" s="256">
        <f t="shared" si="21"/>
        <v>1.101768143412053</v>
      </c>
      <c r="AL14" s="256">
        <f t="shared" si="21"/>
        <v>1.1664550927984376</v>
      </c>
      <c r="AM14" s="256">
        <f t="shared" si="21"/>
        <v>1.3377268566703739</v>
      </c>
      <c r="AN14" s="282">
        <f t="shared" si="4"/>
        <v>0.12</v>
      </c>
      <c r="AO14" s="279">
        <f t="shared" si="22"/>
        <v>1.4049280000000004</v>
      </c>
      <c r="AP14" s="478"/>
      <c r="AQ14" s="482">
        <v>1935</v>
      </c>
      <c r="AR14" s="482">
        <v>41.37</v>
      </c>
      <c r="AS14" s="482">
        <v>6.3</v>
      </c>
      <c r="AT14" s="482">
        <v>47.67</v>
      </c>
      <c r="AU14" s="478"/>
      <c r="AV14" s="478"/>
      <c r="AW14" s="478"/>
      <c r="AX14" s="478"/>
      <c r="AY14" s="478"/>
      <c r="AZ14" s="478"/>
      <c r="BA14" s="243"/>
      <c r="BB14" s="243"/>
      <c r="BC14" s="243"/>
    </row>
    <row r="15" spans="1:55" s="102" customFormat="1" ht="15" customHeight="1" thickBot="1">
      <c r="A15" s="210">
        <f t="shared" si="19"/>
        <v>1937</v>
      </c>
      <c r="B15" s="111">
        <v>9</v>
      </c>
      <c r="C15" s="445">
        <v>0</v>
      </c>
      <c r="D15" s="452">
        <v>-50000</v>
      </c>
      <c r="E15" s="498">
        <f t="shared" si="1"/>
        <v>-0.3503</v>
      </c>
      <c r="F15" s="107">
        <f t="shared" si="5"/>
        <v>183409.91451239443</v>
      </c>
      <c r="G15" s="107">
        <f t="shared" si="2"/>
        <v>120956.55708531446</v>
      </c>
      <c r="H15" s="527">
        <f t="shared" si="3"/>
        <v>0</v>
      </c>
      <c r="I15" s="120">
        <f t="shared" si="20"/>
        <v>822256.00000000361</v>
      </c>
      <c r="J15" s="448">
        <f ca="1">-OFFSET(FFIUL!Q11:Q75,J$6-1,0,1,1)</f>
        <v>-4380</v>
      </c>
      <c r="K15" s="120">
        <f t="shared" ca="1" si="6"/>
        <v>773498.88153600355</v>
      </c>
      <c r="L15" s="463">
        <f t="shared" si="7"/>
        <v>713829.79680318444</v>
      </c>
      <c r="M15" s="135">
        <f t="shared" si="8"/>
        <v>873006.45627355925</v>
      </c>
      <c r="N15" s="112">
        <f t="shared" si="9"/>
        <v>1080439.2118836557</v>
      </c>
      <c r="O15" s="112">
        <f t="shared" si="10"/>
        <v>1324676.5038089389</v>
      </c>
      <c r="P15" s="499">
        <f t="shared" ca="1" si="11"/>
        <v>1137647.3455710581</v>
      </c>
      <c r="Q15" s="112">
        <f t="shared" ca="1" si="12"/>
        <v>950016.25178082427</v>
      </c>
      <c r="R15" s="122"/>
      <c r="S15" s="659">
        <v>9</v>
      </c>
      <c r="T15" s="670">
        <f t="shared" si="13"/>
        <v>365423.84827142692</v>
      </c>
      <c r="U15" s="496">
        <f t="shared" si="14"/>
        <v>20684.368770080768</v>
      </c>
      <c r="V15" s="671">
        <f t="shared" si="15"/>
        <v>-20684.368770080793</v>
      </c>
      <c r="W15" s="662">
        <f t="shared" si="16"/>
        <v>-20684.368770080793</v>
      </c>
      <c r="X15" s="669">
        <f t="shared" ca="1" si="17"/>
        <v>643582.09612948936</v>
      </c>
      <c r="Y15" s="669">
        <f t="shared" si="18"/>
        <v>692339.21459348919</v>
      </c>
      <c r="Z15" s="285"/>
      <c r="AA15" s="293">
        <v>1936</v>
      </c>
      <c r="AB15" s="250"/>
      <c r="AC15" s="250"/>
      <c r="AD15" s="250"/>
      <c r="AE15" s="260"/>
      <c r="AF15" s="250"/>
      <c r="AG15" s="250">
        <v>1936</v>
      </c>
      <c r="AH15" s="251">
        <v>0.31940000000000002</v>
      </c>
      <c r="AI15" s="252">
        <v>1.6999999999999999E-3</v>
      </c>
      <c r="AJ15" s="253">
        <v>5.0200000000000002E-2</v>
      </c>
      <c r="AK15" s="256">
        <f t="shared" si="21"/>
        <v>1.4536728884178627</v>
      </c>
      <c r="AL15" s="256">
        <f t="shared" si="21"/>
        <v>1.1684380664561951</v>
      </c>
      <c r="AM15" s="256">
        <f t="shared" si="21"/>
        <v>1.4048807448752267</v>
      </c>
      <c r="AN15" s="282">
        <f t="shared" si="4"/>
        <v>0.12</v>
      </c>
      <c r="AO15" s="279">
        <f t="shared" si="22"/>
        <v>1.5735193600000006</v>
      </c>
      <c r="AP15" s="478"/>
      <c r="AQ15" s="482">
        <v>1936</v>
      </c>
      <c r="AR15" s="482">
        <v>27.92</v>
      </c>
      <c r="AS15" s="482">
        <v>6</v>
      </c>
      <c r="AT15" s="482">
        <v>33.92</v>
      </c>
      <c r="AU15" s="478"/>
      <c r="AV15" s="478"/>
      <c r="AW15" s="478"/>
      <c r="AX15" s="478"/>
      <c r="AY15" s="478"/>
      <c r="AZ15" s="478"/>
      <c r="BA15" s="243"/>
      <c r="BB15" s="243"/>
      <c r="BC15" s="243"/>
    </row>
    <row r="16" spans="1:55" s="94" customFormat="1" ht="15" customHeight="1" thickBot="1">
      <c r="A16" s="116">
        <f t="shared" si="19"/>
        <v>1938</v>
      </c>
      <c r="B16" s="117">
        <v>10</v>
      </c>
      <c r="C16" s="445">
        <v>0</v>
      </c>
      <c r="D16" s="452">
        <v>-50000</v>
      </c>
      <c r="E16" s="459">
        <f t="shared" si="1"/>
        <v>0.31120000000000003</v>
      </c>
      <c r="F16" s="563">
        <f t="shared" si="5"/>
        <v>174927.07990865174</v>
      </c>
      <c r="G16" s="563">
        <f t="shared" si="2"/>
        <v>91428.871979012387</v>
      </c>
      <c r="H16" s="528">
        <f t="shared" si="3"/>
        <v>0.12</v>
      </c>
      <c r="I16" s="113">
        <f t="shared" si="20"/>
        <v>864926.72000000521</v>
      </c>
      <c r="J16" s="448">
        <f ca="1">-OFFSET(FFIUL!Q12:Q76,J$6-1,0,1,1)</f>
        <v>-4433</v>
      </c>
      <c r="K16" s="113">
        <f t="shared" ca="1" si="6"/>
        <v>805353.78732032503</v>
      </c>
      <c r="L16" s="464">
        <f t="shared" si="7"/>
        <v>678434.05233285483</v>
      </c>
      <c r="M16" s="136">
        <f t="shared" si="8"/>
        <v>855926.71452450205</v>
      </c>
      <c r="N16" s="115">
        <f t="shared" si="9"/>
        <v>1092265.5645966758</v>
      </c>
      <c r="O16" s="115">
        <f t="shared" si="10"/>
        <v>1376650.6241136538</v>
      </c>
      <c r="P16" s="115">
        <f t="shared" ca="1" si="11"/>
        <v>1158443.8054741104</v>
      </c>
      <c r="Q16" s="114">
        <f t="shared" ca="1" si="12"/>
        <v>942646.06731550035</v>
      </c>
      <c r="R16" s="122"/>
      <c r="S16" s="660">
        <v>10</v>
      </c>
      <c r="T16" s="670">
        <f t="shared" si="13"/>
        <v>419149.27916771255</v>
      </c>
      <c r="U16" s="496">
        <f t="shared" si="14"/>
        <v>23725.430896285616</v>
      </c>
      <c r="V16" s="671">
        <f t="shared" si="15"/>
        <v>23725.43089628563</v>
      </c>
      <c r="W16" s="662">
        <f t="shared" si="16"/>
        <v>23725.43089628563</v>
      </c>
      <c r="X16" s="669">
        <f t="shared" ca="1" si="17"/>
        <v>742419.47026886896</v>
      </c>
      <c r="Y16" s="669">
        <f t="shared" si="18"/>
        <v>801992.4029485489</v>
      </c>
      <c r="Z16" s="285"/>
      <c r="AA16" s="293">
        <v>1937</v>
      </c>
      <c r="AB16" s="281">
        <f>(AK16/AK5)^(1/10)-1</f>
        <v>-6.1742637577060222E-3</v>
      </c>
      <c r="AC16" s="250"/>
      <c r="AD16" s="281">
        <f>(AO16)^(1/10)-1</f>
        <v>4.6374648548560771E-2</v>
      </c>
      <c r="AE16" s="282"/>
      <c r="AF16" s="281"/>
      <c r="AG16" s="250">
        <v>1937</v>
      </c>
      <c r="AH16" s="251">
        <v>-0.35339999999999999</v>
      </c>
      <c r="AI16" s="252">
        <v>3.0000000000000001E-3</v>
      </c>
      <c r="AJ16" s="253">
        <v>1.38E-2</v>
      </c>
      <c r="AK16" s="256">
        <f t="shared" si="21"/>
        <v>0.9399448896509901</v>
      </c>
      <c r="AL16" s="256">
        <f t="shared" si="21"/>
        <v>1.1719433806555635</v>
      </c>
      <c r="AM16" s="256">
        <f t="shared" si="21"/>
        <v>1.4242680991545049</v>
      </c>
      <c r="AN16" s="282">
        <f t="shared" si="4"/>
        <v>0</v>
      </c>
      <c r="AO16" s="279">
        <f t="shared" si="22"/>
        <v>1.5735193600000006</v>
      </c>
      <c r="AP16" s="244"/>
      <c r="AQ16" s="482">
        <v>1937</v>
      </c>
      <c r="AR16" s="482">
        <v>-38.590000000000003</v>
      </c>
      <c r="AS16" s="482">
        <v>3.56</v>
      </c>
      <c r="AT16" s="482">
        <v>-35.03</v>
      </c>
      <c r="AU16" s="244"/>
      <c r="AV16" s="244"/>
      <c r="AW16" s="244"/>
      <c r="AX16" s="244"/>
      <c r="AY16" s="244"/>
      <c r="AZ16" s="244"/>
      <c r="BA16" s="244"/>
      <c r="BB16" s="244"/>
      <c r="BC16" s="244"/>
    </row>
    <row r="17" spans="1:55" s="101" customFormat="1" ht="15" customHeight="1">
      <c r="A17" s="208">
        <f t="shared" si="19"/>
        <v>1939</v>
      </c>
      <c r="B17" s="109">
        <v>11</v>
      </c>
      <c r="C17" s="445">
        <v>0</v>
      </c>
      <c r="D17" s="452">
        <v>-50000</v>
      </c>
      <c r="E17" s="108">
        <f t="shared" si="1"/>
        <v>-4.0999999999999995E-3</v>
      </c>
      <c r="F17" s="107">
        <f t="shared" si="5"/>
        <v>124414.87888102638</v>
      </c>
      <c r="G17" s="107">
        <f t="shared" si="2"/>
        <v>40565.4528580978</v>
      </c>
      <c r="H17" s="529">
        <f t="shared" si="3"/>
        <v>0</v>
      </c>
      <c r="I17" s="118">
        <f t="shared" si="20"/>
        <v>814926.72000000521</v>
      </c>
      <c r="J17" s="448">
        <f ca="1">-OFFSET(FFIUL!Q13:Q77,J$6-1,0,1,1)</f>
        <v>-1721</v>
      </c>
      <c r="K17" s="118">
        <f t="shared" ca="1" si="6"/>
        <v>753632.78732032503</v>
      </c>
      <c r="L17" s="462">
        <f t="shared" si="7"/>
        <v>642259.60148417798</v>
      </c>
      <c r="M17" s="133">
        <f t="shared" si="8"/>
        <v>838163.78310548246</v>
      </c>
      <c r="N17" s="107">
        <f t="shared" si="9"/>
        <v>1104801.4984724771</v>
      </c>
      <c r="O17" s="107">
        <f t="shared" si="10"/>
        <v>1432782.674042746</v>
      </c>
      <c r="P17" s="107">
        <f t="shared" ca="1" si="11"/>
        <v>1183494.6335574242</v>
      </c>
      <c r="Q17" s="107">
        <f t="shared" ca="1" si="12"/>
        <v>937677.88328441395</v>
      </c>
      <c r="R17" s="122"/>
      <c r="S17" s="658">
        <v>11</v>
      </c>
      <c r="T17" s="670">
        <f t="shared" si="13"/>
        <v>476098.23591777531</v>
      </c>
      <c r="U17" s="496">
        <f t="shared" si="14"/>
        <v>26948.956750062753</v>
      </c>
      <c r="V17" s="671">
        <f t="shared" si="15"/>
        <v>-26948.95675006276</v>
      </c>
      <c r="W17" s="662">
        <f t="shared" si="16"/>
        <v>-26948.95675006276</v>
      </c>
      <c r="X17" s="669">
        <f t="shared" ca="1" si="17"/>
        <v>713749.5135188062</v>
      </c>
      <c r="Y17" s="669">
        <f t="shared" si="18"/>
        <v>775043.44619848614</v>
      </c>
      <c r="Z17" s="285"/>
      <c r="AA17" s="293">
        <v>1938</v>
      </c>
      <c r="AB17" s="281">
        <f>(AK17/AK7)^(1/10)-1</f>
        <v>-1.6703564518270042E-2</v>
      </c>
      <c r="AC17" s="250"/>
      <c r="AD17" s="281">
        <f t="shared" ref="AD17:AD48" si="23">(AO17/AO7)^(1/10)-1</f>
        <v>4.6374648548560771E-2</v>
      </c>
      <c r="AE17" s="282"/>
      <c r="AF17" s="281"/>
      <c r="AG17" s="250">
        <v>1938</v>
      </c>
      <c r="AH17" s="251">
        <v>0.2928</v>
      </c>
      <c r="AI17" s="252">
        <v>8.0000000000000004E-4</v>
      </c>
      <c r="AJ17" s="253">
        <v>4.2099999999999999E-2</v>
      </c>
      <c r="AK17" s="256">
        <f t="shared" si="21"/>
        <v>1.2151607533408</v>
      </c>
      <c r="AL17" s="256">
        <f t="shared" si="21"/>
        <v>1.1728809353600878</v>
      </c>
      <c r="AM17" s="256">
        <f t="shared" si="21"/>
        <v>1.4842297861289095</v>
      </c>
      <c r="AN17" s="282">
        <f t="shared" si="4"/>
        <v>0.12</v>
      </c>
      <c r="AO17" s="279">
        <f t="shared" si="22"/>
        <v>1.7623416832000007</v>
      </c>
      <c r="AP17" s="478"/>
      <c r="AQ17" s="482">
        <v>1938</v>
      </c>
      <c r="AR17" s="482">
        <v>24.55</v>
      </c>
      <c r="AS17" s="482">
        <v>6.57</v>
      </c>
      <c r="AT17" s="482">
        <v>31.12</v>
      </c>
      <c r="AU17" s="478"/>
      <c r="AV17" s="478"/>
      <c r="AW17" s="478"/>
      <c r="AX17" s="478"/>
      <c r="AY17" s="478"/>
      <c r="AZ17" s="478"/>
      <c r="BA17" s="243"/>
      <c r="BB17" s="243"/>
      <c r="BC17" s="243"/>
    </row>
    <row r="18" spans="1:55" s="101" customFormat="1" ht="15" customHeight="1">
      <c r="A18" s="209">
        <f t="shared" si="19"/>
        <v>1940</v>
      </c>
      <c r="B18" s="105">
        <v>12</v>
      </c>
      <c r="C18" s="445">
        <v>0</v>
      </c>
      <c r="D18" s="452">
        <v>-50000</v>
      </c>
      <c r="E18" s="446">
        <f t="shared" si="1"/>
        <v>-9.7799999999999998E-2</v>
      </c>
      <c r="F18" s="107">
        <f t="shared" si="5"/>
        <v>67137.103726461995</v>
      </c>
      <c r="G18" s="107">
        <f t="shared" si="2"/>
        <v>-8337.0923147147078</v>
      </c>
      <c r="H18" s="526">
        <f t="shared" si="3"/>
        <v>0</v>
      </c>
      <c r="I18" s="119">
        <f t="shared" si="20"/>
        <v>764926.72000000521</v>
      </c>
      <c r="J18" s="448">
        <f ca="1">-OFFSET(FFIUL!Q14:Q78,J$6-1,0,1,1)</f>
        <v>-1805</v>
      </c>
      <c r="K18" s="119">
        <f t="shared" ca="1" si="6"/>
        <v>701827.78732032503</v>
      </c>
      <c r="L18" s="461">
        <f t="shared" si="7"/>
        <v>605289.31271683017</v>
      </c>
      <c r="M18" s="134">
        <f t="shared" si="8"/>
        <v>819690.33442970214</v>
      </c>
      <c r="N18" s="106">
        <f t="shared" si="9"/>
        <v>1118089.5883808264</v>
      </c>
      <c r="O18" s="106">
        <f t="shared" si="10"/>
        <v>1493405.2879661655</v>
      </c>
      <c r="P18" s="107">
        <f t="shared" ca="1" si="11"/>
        <v>1210194.8285637782</v>
      </c>
      <c r="Q18" s="106">
        <f t="shared" ca="1" si="12"/>
        <v>932362.85111610324</v>
      </c>
      <c r="R18" s="122"/>
      <c r="S18" s="657">
        <v>12</v>
      </c>
      <c r="T18" s="670">
        <f t="shared" si="13"/>
        <v>536464.13007284189</v>
      </c>
      <c r="U18" s="496">
        <f t="shared" si="14"/>
        <v>30365.894155066519</v>
      </c>
      <c r="V18" s="671">
        <f t="shared" si="15"/>
        <v>-30365.894155066577</v>
      </c>
      <c r="W18" s="662">
        <f t="shared" si="16"/>
        <v>-30365.894155066577</v>
      </c>
      <c r="X18" s="669">
        <f t="shared" ca="1" si="17"/>
        <v>681578.61936373962</v>
      </c>
      <c r="Y18" s="669">
        <f t="shared" si="18"/>
        <v>744677.55204341956</v>
      </c>
      <c r="Z18" s="285"/>
      <c r="AA18" s="293">
        <v>1939</v>
      </c>
      <c r="AB18" s="281">
        <f>(AK18/AK7)^(1/10)-1</f>
        <v>-1.7790582246308362E-2</v>
      </c>
      <c r="AC18" s="250"/>
      <c r="AD18" s="281">
        <f t="shared" si="23"/>
        <v>4.6374648548560771E-2</v>
      </c>
      <c r="AE18" s="282"/>
      <c r="AF18" s="281"/>
      <c r="AG18" s="250">
        <v>1939</v>
      </c>
      <c r="AH18" s="251">
        <v>-1.0999999999999999E-2</v>
      </c>
      <c r="AI18" s="252">
        <v>4.0000000000000002E-4</v>
      </c>
      <c r="AJ18" s="253">
        <v>4.41E-2</v>
      </c>
      <c r="AK18" s="256">
        <f t="shared" si="21"/>
        <v>1.2017939850540511</v>
      </c>
      <c r="AL18" s="256">
        <f t="shared" si="21"/>
        <v>1.1733500877342318</v>
      </c>
      <c r="AM18" s="256">
        <f t="shared" si="21"/>
        <v>1.5496843196971946</v>
      </c>
      <c r="AN18" s="282">
        <f t="shared" si="4"/>
        <v>0</v>
      </c>
      <c r="AO18" s="279">
        <f t="shared" si="22"/>
        <v>1.7623416832000007</v>
      </c>
      <c r="AP18" s="478"/>
      <c r="AQ18" s="483">
        <v>1939</v>
      </c>
      <c r="AR18" s="483">
        <v>-5.18</v>
      </c>
      <c r="AS18" s="483">
        <v>4.7699999999999996</v>
      </c>
      <c r="AT18" s="483">
        <v>-0.41</v>
      </c>
      <c r="AU18" s="478"/>
      <c r="AV18" s="478"/>
      <c r="AW18" s="478"/>
      <c r="AX18" s="478"/>
      <c r="AY18" s="478"/>
      <c r="AZ18" s="478"/>
      <c r="BA18" s="243"/>
      <c r="BB18" s="243"/>
      <c r="BC18" s="243"/>
    </row>
    <row r="19" spans="1:55" s="101" customFormat="1" ht="15" customHeight="1">
      <c r="A19" s="209">
        <f t="shared" si="19"/>
        <v>1941</v>
      </c>
      <c r="B19" s="105">
        <v>13</v>
      </c>
      <c r="C19" s="445">
        <v>0</v>
      </c>
      <c r="D19" s="452">
        <v>-50000</v>
      </c>
      <c r="E19" s="446">
        <f t="shared" si="1"/>
        <v>-0.1159</v>
      </c>
      <c r="F19" s="107">
        <f t="shared" si="5"/>
        <v>15150.913404565048</v>
      </c>
      <c r="G19" s="107">
        <f t="shared" si="2"/>
        <v>-50310.433446040799</v>
      </c>
      <c r="H19" s="526">
        <f t="shared" si="3"/>
        <v>0</v>
      </c>
      <c r="I19" s="119">
        <f t="shared" si="20"/>
        <v>714926.72000000521</v>
      </c>
      <c r="J19" s="448">
        <f ca="1">-OFFSET(FFIUL!Q15:Q79,J$6-1,0,1,1)</f>
        <v>-1888</v>
      </c>
      <c r="K19" s="119">
        <f t="shared" ca="1" si="6"/>
        <v>649939.78732032503</v>
      </c>
      <c r="L19" s="461">
        <f t="shared" si="7"/>
        <v>567505.67759660073</v>
      </c>
      <c r="M19" s="134">
        <f t="shared" si="8"/>
        <v>800477.94780689059</v>
      </c>
      <c r="N19" s="106">
        <f t="shared" si="9"/>
        <v>1132174.9636836767</v>
      </c>
      <c r="O19" s="106">
        <f t="shared" si="10"/>
        <v>1558877.7110034586</v>
      </c>
      <c r="P19" s="107">
        <f t="shared" ca="1" si="11"/>
        <v>1238659.7594817749</v>
      </c>
      <c r="Q19" s="106">
        <f t="shared" ca="1" si="12"/>
        <v>926683.81378846045</v>
      </c>
      <c r="R19" s="122"/>
      <c r="S19" s="657">
        <v>13</v>
      </c>
      <c r="T19" s="670">
        <f t="shared" si="13"/>
        <v>600451.97787721246</v>
      </c>
      <c r="U19" s="496">
        <f t="shared" si="14"/>
        <v>33987.847804370511</v>
      </c>
      <c r="V19" s="671">
        <f t="shared" si="15"/>
        <v>-33987.847804370569</v>
      </c>
      <c r="W19" s="662">
        <f t="shared" si="16"/>
        <v>-33987.847804370569</v>
      </c>
      <c r="X19" s="669">
        <f t="shared" ca="1" si="17"/>
        <v>645702.77155936905</v>
      </c>
      <c r="Y19" s="669">
        <f t="shared" si="18"/>
        <v>710689.704239049</v>
      </c>
      <c r="Z19" s="285"/>
      <c r="AA19" s="293">
        <v>1940</v>
      </c>
      <c r="AB19" s="281">
        <f>(AK19/AK9)^(1/10)-1</f>
        <v>8.3941330451522411E-3</v>
      </c>
      <c r="AC19" s="250"/>
      <c r="AD19" s="281">
        <f t="shared" si="23"/>
        <v>4.6374648548560771E-2</v>
      </c>
      <c r="AE19" s="282"/>
      <c r="AF19" s="281"/>
      <c r="AG19" s="250">
        <v>1940</v>
      </c>
      <c r="AH19" s="251">
        <v>-0.1067</v>
      </c>
      <c r="AI19" s="252">
        <v>2.9999999999999997E-4</v>
      </c>
      <c r="AJ19" s="253">
        <v>5.3999999999999999E-2</v>
      </c>
      <c r="AK19" s="256">
        <f t="shared" si="21"/>
        <v>1.0735625668487838</v>
      </c>
      <c r="AL19" s="256">
        <f t="shared" si="21"/>
        <v>1.1737020927605519</v>
      </c>
      <c r="AM19" s="256">
        <f t="shared" si="21"/>
        <v>1.6333672729608431</v>
      </c>
      <c r="AN19" s="282">
        <f t="shared" si="4"/>
        <v>0</v>
      </c>
      <c r="AO19" s="279">
        <f t="shared" si="22"/>
        <v>1.7623416832000007</v>
      </c>
      <c r="AP19" s="478"/>
      <c r="AQ19" s="482">
        <v>1940</v>
      </c>
      <c r="AR19" s="482">
        <v>-15.09</v>
      </c>
      <c r="AS19" s="482">
        <v>5.31</v>
      </c>
      <c r="AT19" s="482">
        <v>-9.7799999999999994</v>
      </c>
      <c r="AU19" s="478"/>
      <c r="AV19" s="478"/>
      <c r="AW19" s="478"/>
      <c r="AX19" s="478"/>
      <c r="AY19" s="478"/>
      <c r="AZ19" s="478"/>
      <c r="BA19" s="243"/>
      <c r="BB19" s="243"/>
      <c r="BC19" s="243"/>
    </row>
    <row r="20" spans="1:55" s="101" customFormat="1" ht="15" customHeight="1" thickBot="1">
      <c r="A20" s="210">
        <f t="shared" si="19"/>
        <v>1942</v>
      </c>
      <c r="B20" s="111">
        <v>14</v>
      </c>
      <c r="C20" s="445">
        <v>0</v>
      </c>
      <c r="D20" s="452">
        <v>-50000</v>
      </c>
      <c r="E20" s="498">
        <f t="shared" si="1"/>
        <v>0.2034</v>
      </c>
      <c r="F20" s="107">
        <f t="shared" si="5"/>
        <v>-41937.390808946453</v>
      </c>
      <c r="G20" s="107">
        <f t="shared" si="2"/>
        <v>-117994.86193127747</v>
      </c>
      <c r="H20" s="527">
        <f t="shared" si="3"/>
        <v>0.12</v>
      </c>
      <c r="I20" s="120">
        <f t="shared" si="20"/>
        <v>744717.92640000675</v>
      </c>
      <c r="J20" s="448">
        <f ca="1">-OFFSET(FFIUL!Q16:Q80,J$6-1,0,1,1)</f>
        <v>-1969</v>
      </c>
      <c r="K20" s="120">
        <f t="shared" ca="1" si="6"/>
        <v>669727.28179876495</v>
      </c>
      <c r="L20" s="463">
        <f t="shared" si="7"/>
        <v>528890.80250372621</v>
      </c>
      <c r="M20" s="135">
        <f t="shared" si="8"/>
        <v>780497.06571916654</v>
      </c>
      <c r="N20" s="112">
        <f t="shared" si="9"/>
        <v>1147105.461504698</v>
      </c>
      <c r="O20" s="112">
        <f t="shared" si="10"/>
        <v>1629587.9278837352</v>
      </c>
      <c r="P20" s="499">
        <f t="shared" ca="1" si="11"/>
        <v>1269013.8296812968</v>
      </c>
      <c r="Q20" s="112">
        <f t="shared" ca="1" si="12"/>
        <v>920623.74291687727</v>
      </c>
      <c r="R20" s="122"/>
      <c r="S20" s="659">
        <v>14</v>
      </c>
      <c r="T20" s="670">
        <f t="shared" si="13"/>
        <v>668279.09654984518</v>
      </c>
      <c r="U20" s="496">
        <f t="shared" si="14"/>
        <v>37827.118672632743</v>
      </c>
      <c r="V20" s="671">
        <f t="shared" si="15"/>
        <v>37827.118672632845</v>
      </c>
      <c r="W20" s="662">
        <f t="shared" si="16"/>
        <v>37827.118672632845</v>
      </c>
      <c r="X20" s="669">
        <f t="shared" ca="1" si="17"/>
        <v>763348.19705984311</v>
      </c>
      <c r="Y20" s="669">
        <f t="shared" si="18"/>
        <v>838338.84166108479</v>
      </c>
      <c r="Z20" s="285"/>
      <c r="AA20" s="293">
        <v>1941</v>
      </c>
      <c r="AB20" s="281">
        <f>(AK20/AK9)^(1/10)-1</f>
        <v>-5.2890529666349551E-3</v>
      </c>
      <c r="AC20" s="250"/>
      <c r="AD20" s="281">
        <f t="shared" si="23"/>
        <v>4.6374648548560771E-2</v>
      </c>
      <c r="AE20" s="282"/>
      <c r="AF20" s="281"/>
      <c r="AG20" s="250">
        <v>1941</v>
      </c>
      <c r="AH20" s="251">
        <v>-0.12770000000000001</v>
      </c>
      <c r="AI20" s="252">
        <v>8.0000000000000004E-4</v>
      </c>
      <c r="AJ20" s="253">
        <v>-2.0199999999999999E-2</v>
      </c>
      <c r="AK20" s="256">
        <f t="shared" si="21"/>
        <v>0.93646862706219414</v>
      </c>
      <c r="AL20" s="256">
        <f t="shared" si="21"/>
        <v>1.1746410544347603</v>
      </c>
      <c r="AM20" s="256">
        <f t="shared" si="21"/>
        <v>1.6003732540470341</v>
      </c>
      <c r="AN20" s="282">
        <f t="shared" si="4"/>
        <v>0</v>
      </c>
      <c r="AO20" s="279">
        <f t="shared" si="22"/>
        <v>1.7623416832000007</v>
      </c>
      <c r="AP20" s="478"/>
      <c r="AQ20" s="482">
        <v>1941</v>
      </c>
      <c r="AR20" s="482">
        <v>-17.86</v>
      </c>
      <c r="AS20" s="482">
        <v>6.27</v>
      </c>
      <c r="AT20" s="482">
        <v>-11.59</v>
      </c>
      <c r="AU20" s="478"/>
      <c r="AV20" s="478"/>
      <c r="AW20" s="478"/>
      <c r="AX20" s="478"/>
      <c r="AY20" s="478"/>
      <c r="AZ20" s="478"/>
      <c r="BA20" s="243"/>
      <c r="BB20" s="243"/>
      <c r="BC20" s="243"/>
    </row>
    <row r="21" spans="1:55" s="95" customFormat="1" ht="15" customHeight="1" thickBot="1">
      <c r="A21" s="116">
        <f t="shared" si="19"/>
        <v>1943</v>
      </c>
      <c r="B21" s="117">
        <v>15</v>
      </c>
      <c r="C21" s="445">
        <v>0</v>
      </c>
      <c r="D21" s="452">
        <v>-50000</v>
      </c>
      <c r="E21" s="500">
        <f t="shared" si="1"/>
        <v>0.25900000000000001</v>
      </c>
      <c r="F21" s="563">
        <f t="shared" si="5"/>
        <v>-115749.17502846365</v>
      </c>
      <c r="G21" s="563">
        <f t="shared" si="2"/>
        <v>-207761.76567333966</v>
      </c>
      <c r="H21" s="528">
        <f t="shared" si="3"/>
        <v>0.12</v>
      </c>
      <c r="I21" s="113">
        <f t="shared" si="20"/>
        <v>778084.07756800856</v>
      </c>
      <c r="J21" s="448">
        <f ca="1">-OFFSET(FFIUL!Q17:Q81,J$6-1,0,1,1)</f>
        <v>-2052</v>
      </c>
      <c r="K21" s="113">
        <f t="shared" ca="1" si="6"/>
        <v>691796.31561461766</v>
      </c>
      <c r="L21" s="464">
        <f t="shared" si="7"/>
        <v>489426.40015880839</v>
      </c>
      <c r="M21" s="136">
        <f t="shared" si="8"/>
        <v>759716.94834793359</v>
      </c>
      <c r="N21" s="115">
        <f t="shared" si="9"/>
        <v>1162931.7891949806</v>
      </c>
      <c r="O21" s="115">
        <f t="shared" si="10"/>
        <v>1705954.9621144338</v>
      </c>
      <c r="P21" s="115">
        <f t="shared" ca="1" si="11"/>
        <v>1301385.9173485495</v>
      </c>
      <c r="Q21" s="114">
        <f t="shared" ca="1" si="12"/>
        <v>914160.60460970295</v>
      </c>
      <c r="R21" s="122"/>
      <c r="S21" s="660">
        <v>15</v>
      </c>
      <c r="T21" s="670">
        <f t="shared" si="13"/>
        <v>740175.84234283597</v>
      </c>
      <c r="U21" s="496">
        <f t="shared" si="14"/>
        <v>41896.74579299071</v>
      </c>
      <c r="V21" s="671">
        <f t="shared" si="15"/>
        <v>41896.745792990667</v>
      </c>
      <c r="W21" s="662">
        <f t="shared" si="16"/>
        <v>41896.745792990667</v>
      </c>
      <c r="X21" s="669">
        <f t="shared" ca="1" si="17"/>
        <v>899576.09599517495</v>
      </c>
      <c r="Y21" s="669">
        <f t="shared" si="18"/>
        <v>985863.85794856574</v>
      </c>
      <c r="Z21" s="285"/>
      <c r="AA21" s="293">
        <v>1942</v>
      </c>
      <c r="AB21" s="281">
        <f>(AK21/AK11)^(1/10)-1</f>
        <v>8.2169457281276559E-2</v>
      </c>
      <c r="AC21" s="250"/>
      <c r="AD21" s="281">
        <f t="shared" si="23"/>
        <v>5.8300524425836331E-2</v>
      </c>
      <c r="AE21" s="282"/>
      <c r="AF21" s="281"/>
      <c r="AG21" s="250">
        <v>1942</v>
      </c>
      <c r="AH21" s="251">
        <v>0.19170000000000001</v>
      </c>
      <c r="AI21" s="252">
        <v>3.3999999999999998E-3</v>
      </c>
      <c r="AJ21" s="253">
        <v>2.29E-2</v>
      </c>
      <c r="AK21" s="256">
        <f t="shared" si="21"/>
        <v>1.1159896628700168</v>
      </c>
      <c r="AL21" s="256">
        <f t="shared" si="21"/>
        <v>1.1786348340198385</v>
      </c>
      <c r="AM21" s="256">
        <f t="shared" si="21"/>
        <v>1.6370218015647111</v>
      </c>
      <c r="AN21" s="282">
        <f t="shared" si="4"/>
        <v>0.12</v>
      </c>
      <c r="AO21" s="279">
        <f t="shared" si="22"/>
        <v>1.9738226851840011</v>
      </c>
      <c r="AP21" s="244"/>
      <c r="AQ21" s="482">
        <v>1942</v>
      </c>
      <c r="AR21" s="482">
        <v>12.43</v>
      </c>
      <c r="AS21" s="482">
        <v>7.91</v>
      </c>
      <c r="AT21" s="482">
        <v>20.34</v>
      </c>
      <c r="AU21" s="244"/>
      <c r="AV21" s="244"/>
      <c r="AW21" s="244"/>
      <c r="AX21" s="244"/>
      <c r="AY21" s="244"/>
      <c r="AZ21" s="244"/>
      <c r="BA21" s="244"/>
      <c r="BB21" s="244"/>
      <c r="BC21" s="244"/>
    </row>
    <row r="22" spans="1:55" s="102" customFormat="1" ht="15" customHeight="1">
      <c r="A22" s="208">
        <f>A21+1</f>
        <v>1944</v>
      </c>
      <c r="B22" s="109">
        <v>16</v>
      </c>
      <c r="C22" s="445">
        <v>0</v>
      </c>
      <c r="D22" s="452">
        <v>-50000</v>
      </c>
      <c r="E22" s="108">
        <f t="shared" si="1"/>
        <v>0.19750000000000001</v>
      </c>
      <c r="F22" s="107">
        <f t="shared" si="5"/>
        <v>-198484.63709658518</v>
      </c>
      <c r="G22" s="107">
        <f t="shared" si="2"/>
        <v>-303350.80035915453</v>
      </c>
      <c r="H22" s="529">
        <f t="shared" si="3"/>
        <v>0.12</v>
      </c>
      <c r="I22" s="118">
        <f t="shared" si="20"/>
        <v>815454.16687617067</v>
      </c>
      <c r="J22" s="448">
        <f ca="1">-OFFSET(FFIUL!Q18:Q82,J$6-1,0,1,1)</f>
        <v>-2132</v>
      </c>
      <c r="K22" s="118">
        <f t="shared" ca="1" si="6"/>
        <v>716424.03348837269</v>
      </c>
      <c r="L22" s="462">
        <f t="shared" si="7"/>
        <v>449093.78096230241</v>
      </c>
      <c r="M22" s="133">
        <f t="shared" si="8"/>
        <v>738105.62628185132</v>
      </c>
      <c r="N22" s="107">
        <f t="shared" si="9"/>
        <v>1179707.6965466803</v>
      </c>
      <c r="O22" s="107">
        <f t="shared" si="10"/>
        <v>1788431.3590835882</v>
      </c>
      <c r="P22" s="107">
        <f t="shared" ca="1" si="11"/>
        <v>1335919.020142423</v>
      </c>
      <c r="Q22" s="107">
        <f t="shared" ca="1" si="12"/>
        <v>907276.35063038045</v>
      </c>
      <c r="R22" s="122"/>
      <c r="S22" s="658">
        <v>16</v>
      </c>
      <c r="T22" s="670">
        <f t="shared" si="13"/>
        <v>816386.39288340614</v>
      </c>
      <c r="U22" s="496">
        <f t="shared" si="14"/>
        <v>46210.550540570155</v>
      </c>
      <c r="V22" s="671">
        <f t="shared" si="15"/>
        <v>46210.550540570286</v>
      </c>
      <c r="W22" s="662">
        <f t="shared" si="16"/>
        <v>46210.550540570286</v>
      </c>
      <c r="X22" s="669">
        <f t="shared" ca="1" si="17"/>
        <v>1056893.204120036</v>
      </c>
      <c r="Y22" s="669">
        <f t="shared" si="18"/>
        <v>1155923.3375078337</v>
      </c>
      <c r="Z22" s="285"/>
      <c r="AA22" s="293">
        <v>1943</v>
      </c>
      <c r="AB22" s="281">
        <f>(AK22/AK11)^(1/10)-1</f>
        <v>0.10664191344274032</v>
      </c>
      <c r="AC22" s="250"/>
      <c r="AD22" s="281">
        <f t="shared" si="23"/>
        <v>5.8300524425836331E-2</v>
      </c>
      <c r="AE22" s="282"/>
      <c r="AF22" s="281"/>
      <c r="AG22" s="250">
        <v>1943</v>
      </c>
      <c r="AH22" s="251">
        <v>0.25059999999999999</v>
      </c>
      <c r="AI22" s="252">
        <v>3.8E-3</v>
      </c>
      <c r="AJ22" s="253">
        <v>2.4899999999999999E-2</v>
      </c>
      <c r="AK22" s="256">
        <f t="shared" si="21"/>
        <v>1.3956566723852428</v>
      </c>
      <c r="AL22" s="256">
        <f t="shared" si="21"/>
        <v>1.1831136463891139</v>
      </c>
      <c r="AM22" s="256">
        <f t="shared" si="21"/>
        <v>1.6777836444236722</v>
      </c>
      <c r="AN22" s="282">
        <f t="shared" si="4"/>
        <v>0.12</v>
      </c>
      <c r="AO22" s="279">
        <f t="shared" si="22"/>
        <v>2.2106814074060814</v>
      </c>
      <c r="AP22" s="478"/>
      <c r="AQ22" s="482">
        <v>1943</v>
      </c>
      <c r="AR22" s="482">
        <v>19.45</v>
      </c>
      <c r="AS22" s="482">
        <v>6.45</v>
      </c>
      <c r="AT22" s="482">
        <v>25.9</v>
      </c>
      <c r="AU22" s="478"/>
      <c r="AV22" s="478"/>
      <c r="AW22" s="478"/>
      <c r="AX22" s="478"/>
      <c r="AY22" s="478"/>
      <c r="AZ22" s="478"/>
      <c r="BA22" s="243"/>
      <c r="BB22" s="243"/>
      <c r="BC22" s="243"/>
    </row>
    <row r="23" spans="1:55" s="102" customFormat="1" ht="15" customHeight="1">
      <c r="A23" s="209">
        <f t="shared" si="19"/>
        <v>1945</v>
      </c>
      <c r="B23" s="105">
        <v>17</v>
      </c>
      <c r="C23" s="445">
        <v>0</v>
      </c>
      <c r="D23" s="452">
        <v>-50000</v>
      </c>
      <c r="E23" s="446">
        <f t="shared" si="1"/>
        <v>0.3644</v>
      </c>
      <c r="F23" s="107">
        <f t="shared" si="5"/>
        <v>-339032.43885458104</v>
      </c>
      <c r="G23" s="107">
        <f t="shared" si="2"/>
        <v>-475088.63150209247</v>
      </c>
      <c r="H23" s="526">
        <f t="shared" si="3"/>
        <v>0.12</v>
      </c>
      <c r="I23" s="119">
        <f t="shared" si="20"/>
        <v>857308.6669013123</v>
      </c>
      <c r="J23" s="448">
        <f ca="1">-OFFSET(FFIUL!Q19:Q83,J$6-1,0,1,1)</f>
        <v>-2240</v>
      </c>
      <c r="K23" s="119">
        <f t="shared" ca="1" si="6"/>
        <v>743886.11750697833</v>
      </c>
      <c r="L23" s="461">
        <f t="shared" si="7"/>
        <v>407873.84414347325</v>
      </c>
      <c r="M23" s="134">
        <f t="shared" si="8"/>
        <v>715629.85133312573</v>
      </c>
      <c r="N23" s="106">
        <f t="shared" si="9"/>
        <v>1197490.158339482</v>
      </c>
      <c r="O23" s="106">
        <f t="shared" si="10"/>
        <v>1877505.8678102749</v>
      </c>
      <c r="P23" s="107">
        <f t="shared" ca="1" si="11"/>
        <v>1372733.8960635166</v>
      </c>
      <c r="Q23" s="106">
        <f t="shared" ca="1" si="12"/>
        <v>899920.11296407611</v>
      </c>
      <c r="R23" s="122"/>
      <c r="S23" s="657">
        <v>17</v>
      </c>
      <c r="T23" s="670">
        <f t="shared" si="13"/>
        <v>897169.57645641058</v>
      </c>
      <c r="U23" s="496">
        <f t="shared" si="14"/>
        <v>50783.183573004368</v>
      </c>
      <c r="V23" s="671">
        <f t="shared" si="15"/>
        <v>50783.18357300444</v>
      </c>
      <c r="W23" s="662">
        <f t="shared" si="16"/>
        <v>50783.18357300444</v>
      </c>
      <c r="X23" s="669">
        <f t="shared" ca="1" si="17"/>
        <v>1238088.754216207</v>
      </c>
      <c r="Y23" s="669">
        <f t="shared" si="18"/>
        <v>1351511.3036105405</v>
      </c>
      <c r="Z23" s="285"/>
      <c r="AA23" s="293">
        <v>1944</v>
      </c>
      <c r="AB23" s="281">
        <f>(AK23/AK13)^(1/10)-1</f>
        <v>8.2653123908509318E-2</v>
      </c>
      <c r="AC23" s="250"/>
      <c r="AD23" s="281">
        <f t="shared" si="23"/>
        <v>7.0362323431254703E-2</v>
      </c>
      <c r="AE23" s="282"/>
      <c r="AF23" s="281"/>
      <c r="AG23" s="250">
        <v>1944</v>
      </c>
      <c r="AH23" s="251">
        <v>0.1903</v>
      </c>
      <c r="AI23" s="252">
        <v>3.8E-3</v>
      </c>
      <c r="AJ23" s="253">
        <v>2.58E-2</v>
      </c>
      <c r="AK23" s="256">
        <f t="shared" si="21"/>
        <v>1.6612501371401545</v>
      </c>
      <c r="AL23" s="256">
        <f t="shared" si="21"/>
        <v>1.1876094782453925</v>
      </c>
      <c r="AM23" s="256">
        <f t="shared" si="21"/>
        <v>1.721070462449803</v>
      </c>
      <c r="AN23" s="282">
        <f t="shared" si="4"/>
        <v>0.12</v>
      </c>
      <c r="AO23" s="279">
        <f t="shared" si="22"/>
        <v>2.4759631762948113</v>
      </c>
      <c r="AP23" s="478"/>
      <c r="AQ23" s="483">
        <v>1944</v>
      </c>
      <c r="AR23" s="483">
        <v>13.8</v>
      </c>
      <c r="AS23" s="483">
        <v>5.95</v>
      </c>
      <c r="AT23" s="483">
        <v>19.75</v>
      </c>
      <c r="AU23" s="478"/>
      <c r="AV23" s="478"/>
      <c r="AW23" s="478"/>
      <c r="AX23" s="478"/>
      <c r="AY23" s="478"/>
      <c r="AZ23" s="478"/>
      <c r="BA23" s="243"/>
      <c r="BB23" s="243"/>
      <c r="BC23" s="243"/>
    </row>
    <row r="24" spans="1:55" s="102" customFormat="1" ht="15" customHeight="1">
      <c r="A24" s="209">
        <f t="shared" si="19"/>
        <v>1946</v>
      </c>
      <c r="B24" s="105">
        <v>18</v>
      </c>
      <c r="C24" s="445">
        <v>0</v>
      </c>
      <c r="D24" s="452">
        <v>-50000</v>
      </c>
      <c r="E24" s="446">
        <f t="shared" si="1"/>
        <v>-8.0700000000000008E-2</v>
      </c>
      <c r="F24" s="107">
        <f t="shared" si="5"/>
        <v>-357637.52103901643</v>
      </c>
      <c r="G24" s="107">
        <f t="shared" si="2"/>
        <v>-475604.27886933513</v>
      </c>
      <c r="H24" s="526">
        <f t="shared" si="3"/>
        <v>0</v>
      </c>
      <c r="I24" s="119">
        <f t="shared" si="20"/>
        <v>807308.6669013123</v>
      </c>
      <c r="J24" s="448">
        <f ca="1">-OFFSET(FFIUL!Q20:Q84,J$6-1,0,1,1)</f>
        <v>-2344</v>
      </c>
      <c r="K24" s="119">
        <f t="shared" ca="1" si="6"/>
        <v>691542.11750697833</v>
      </c>
      <c r="L24" s="461">
        <f t="shared" si="7"/>
        <v>365747.06871462986</v>
      </c>
      <c r="M24" s="134">
        <f t="shared" si="8"/>
        <v>692255.04538645106</v>
      </c>
      <c r="N24" s="106">
        <f t="shared" si="9"/>
        <v>1216339.5678398518</v>
      </c>
      <c r="O24" s="106">
        <f t="shared" si="10"/>
        <v>1973706.3372350966</v>
      </c>
      <c r="P24" s="107">
        <f t="shared" ca="1" si="11"/>
        <v>1411992.8631100364</v>
      </c>
      <c r="Q24" s="106">
        <f t="shared" ca="1" si="12"/>
        <v>892071.25828249333</v>
      </c>
      <c r="R24" s="122"/>
      <c r="S24" s="657">
        <v>18</v>
      </c>
      <c r="T24" s="670">
        <f t="shared" si="13"/>
        <v>982799.75104379526</v>
      </c>
      <c r="U24" s="496">
        <f t="shared" si="14"/>
        <v>55630.17458738463</v>
      </c>
      <c r="V24" s="671">
        <f t="shared" si="15"/>
        <v>-55630.174587384681</v>
      </c>
      <c r="W24" s="662">
        <f t="shared" si="16"/>
        <v>-55630.174587384681</v>
      </c>
      <c r="X24" s="669">
        <f t="shared" ca="1" si="17"/>
        <v>1180114.5796288224</v>
      </c>
      <c r="Y24" s="669">
        <f t="shared" si="18"/>
        <v>1295881.1290231557</v>
      </c>
      <c r="Z24" s="285"/>
      <c r="AA24" s="293">
        <v>1945</v>
      </c>
      <c r="AB24" s="281">
        <f>(AK24/AK13)^(1/10)-1</f>
        <v>0.11631228961427698</v>
      </c>
      <c r="AC24" s="250"/>
      <c r="AD24" s="281">
        <f t="shared" si="23"/>
        <v>7.0362323431254703E-2</v>
      </c>
      <c r="AE24" s="282"/>
      <c r="AF24" s="281"/>
      <c r="AG24" s="250">
        <v>1945</v>
      </c>
      <c r="AH24" s="251">
        <v>0.35820000000000002</v>
      </c>
      <c r="AI24" s="252">
        <v>3.8E-3</v>
      </c>
      <c r="AJ24" s="253">
        <v>3.7999999999999999E-2</v>
      </c>
      <c r="AK24" s="256">
        <f t="shared" si="21"/>
        <v>2.256309936263758</v>
      </c>
      <c r="AL24" s="256">
        <f t="shared" si="21"/>
        <v>1.192122394262725</v>
      </c>
      <c r="AM24" s="256">
        <f t="shared" si="21"/>
        <v>1.7864711400228956</v>
      </c>
      <c r="AN24" s="282">
        <f t="shared" si="4"/>
        <v>0.12</v>
      </c>
      <c r="AO24" s="279">
        <f t="shared" si="22"/>
        <v>2.7730787574501892</v>
      </c>
      <c r="AP24" s="478"/>
      <c r="AQ24" s="482">
        <v>1945</v>
      </c>
      <c r="AR24" s="482">
        <v>30.72</v>
      </c>
      <c r="AS24" s="482">
        <v>5.72</v>
      </c>
      <c r="AT24" s="482">
        <v>36.44</v>
      </c>
      <c r="AU24" s="478"/>
      <c r="AV24" s="478"/>
      <c r="AW24" s="478"/>
      <c r="AX24" s="478"/>
      <c r="AY24" s="478"/>
      <c r="AZ24" s="478"/>
      <c r="BA24" s="243"/>
      <c r="BB24" s="243"/>
      <c r="BC24" s="243"/>
    </row>
    <row r="25" spans="1:55" s="102" customFormat="1" ht="15" customHeight="1" thickBot="1">
      <c r="A25" s="210">
        <f t="shared" si="19"/>
        <v>1947</v>
      </c>
      <c r="B25" s="111">
        <v>19</v>
      </c>
      <c r="C25" s="445">
        <v>0</v>
      </c>
      <c r="D25" s="452">
        <v>-50000</v>
      </c>
      <c r="E25" s="498">
        <f t="shared" si="1"/>
        <v>5.7099999999999998E-2</v>
      </c>
      <c r="F25" s="107">
        <f t="shared" si="5"/>
        <v>-430913.62349034479</v>
      </c>
      <c r="G25" s="107">
        <f t="shared" si="2"/>
        <v>-545186.71748716931</v>
      </c>
      <c r="H25" s="527">
        <f t="shared" si="3"/>
        <v>0</v>
      </c>
      <c r="I25" s="120">
        <f t="shared" si="20"/>
        <v>757308.6669013123</v>
      </c>
      <c r="J25" s="448">
        <f ca="1">-OFFSET(FFIUL!Q21:Q85,J$6-1,0,1,1)</f>
        <v>-2461</v>
      </c>
      <c r="K25" s="120">
        <f t="shared" ca="1" si="6"/>
        <v>639081.11750697833</v>
      </c>
      <c r="L25" s="463">
        <f t="shared" si="7"/>
        <v>322693.50422635186</v>
      </c>
      <c r="M25" s="135">
        <f t="shared" si="8"/>
        <v>667945.24720190943</v>
      </c>
      <c r="N25" s="112">
        <f t="shared" si="9"/>
        <v>1236319.9419102438</v>
      </c>
      <c r="O25" s="112">
        <f t="shared" si="10"/>
        <v>2077602.8442139041</v>
      </c>
      <c r="P25" s="499">
        <f t="shared" ca="1" si="11"/>
        <v>1453851.8591650287</v>
      </c>
      <c r="Q25" s="112">
        <f t="shared" ca="1" si="12"/>
        <v>883690.59243222384</v>
      </c>
      <c r="R25" s="122"/>
      <c r="S25" s="659">
        <v>19</v>
      </c>
      <c r="T25" s="670">
        <f t="shared" si="13"/>
        <v>1073567.736106423</v>
      </c>
      <c r="U25" s="496">
        <f t="shared" si="14"/>
        <v>60767.985062627711</v>
      </c>
      <c r="V25" s="671">
        <f t="shared" si="15"/>
        <v>-60767.985062627704</v>
      </c>
      <c r="W25" s="662">
        <f t="shared" si="16"/>
        <v>-60767.985062627704</v>
      </c>
      <c r="X25" s="669">
        <f t="shared" ca="1" si="17"/>
        <v>1116885.5945661948</v>
      </c>
      <c r="Y25" s="669">
        <f t="shared" si="18"/>
        <v>1235113.1439605281</v>
      </c>
      <c r="Z25" s="285"/>
      <c r="AA25" s="293">
        <v>1946</v>
      </c>
      <c r="AB25" s="281">
        <f>(AK25/AK15)^(1/10)-1</f>
        <v>3.5782401713504663E-2</v>
      </c>
      <c r="AC25" s="250"/>
      <c r="AD25" s="281">
        <f t="shared" si="23"/>
        <v>5.8300524425836331E-2</v>
      </c>
      <c r="AE25" s="282"/>
      <c r="AF25" s="281"/>
      <c r="AG25" s="250">
        <v>1946</v>
      </c>
      <c r="AH25" s="251">
        <v>-8.43E-2</v>
      </c>
      <c r="AI25" s="252">
        <v>3.8E-3</v>
      </c>
      <c r="AJ25" s="253">
        <v>3.1300000000000001E-2</v>
      </c>
      <c r="AK25" s="256">
        <f t="shared" ref="AK25:AM40" si="24">AK24*(1+AH25)</f>
        <v>2.0661030086367229</v>
      </c>
      <c r="AL25" s="256">
        <f t="shared" si="24"/>
        <v>1.1966524593609233</v>
      </c>
      <c r="AM25" s="256">
        <f t="shared" si="24"/>
        <v>1.8423876867056124</v>
      </c>
      <c r="AN25" s="282">
        <f t="shared" si="4"/>
        <v>0</v>
      </c>
      <c r="AO25" s="279">
        <f t="shared" si="22"/>
        <v>2.7730787574501892</v>
      </c>
      <c r="AP25" s="478"/>
      <c r="AQ25" s="482">
        <v>1946</v>
      </c>
      <c r="AR25" s="482">
        <v>-11.87</v>
      </c>
      <c r="AS25" s="482">
        <v>3.8</v>
      </c>
      <c r="AT25" s="482">
        <v>-8.07</v>
      </c>
      <c r="AU25" s="478"/>
      <c r="AV25" s="478"/>
      <c r="AW25" s="478"/>
      <c r="AX25" s="478"/>
      <c r="AY25" s="478"/>
      <c r="AZ25" s="478"/>
      <c r="BA25" s="243"/>
      <c r="BB25" s="243"/>
      <c r="BC25" s="243"/>
    </row>
    <row r="26" spans="1:55" s="94" customFormat="1" ht="15" customHeight="1" thickBot="1">
      <c r="A26" s="116">
        <f t="shared" si="19"/>
        <v>1948</v>
      </c>
      <c r="B26" s="117">
        <v>20</v>
      </c>
      <c r="C26" s="445">
        <v>0</v>
      </c>
      <c r="D26" s="452">
        <v>-50000</v>
      </c>
      <c r="E26" s="500">
        <f t="shared" si="1"/>
        <v>5.5E-2</v>
      </c>
      <c r="F26" s="563">
        <f t="shared" si="5"/>
        <v>-507363.87278231361</v>
      </c>
      <c r="G26" s="563">
        <f t="shared" si="2"/>
        <v>-615247.48580007558</v>
      </c>
      <c r="H26" s="528">
        <f t="shared" si="3"/>
        <v>0</v>
      </c>
      <c r="I26" s="113">
        <f t="shared" si="20"/>
        <v>707308.6669013123</v>
      </c>
      <c r="J26" s="448">
        <f ca="1">-OFFSET(FFIUL!Q22:Q86,J$6-1,0,1,1)</f>
        <v>-2572</v>
      </c>
      <c r="K26" s="115">
        <f t="shared" ca="1" si="6"/>
        <v>586509.11750697833</v>
      </c>
      <c r="L26" s="115">
        <f t="shared" si="7"/>
        <v>278692.76131933171</v>
      </c>
      <c r="M26" s="115">
        <f t="shared" si="8"/>
        <v>642663.05708998605</v>
      </c>
      <c r="N26" s="114">
        <f t="shared" si="9"/>
        <v>1257499.1384248594</v>
      </c>
      <c r="O26" s="136">
        <f t="shared" si="10"/>
        <v>2189811.0717510162</v>
      </c>
      <c r="P26" s="115">
        <f t="shared" ca="1" si="11"/>
        <v>1498497.3376088759</v>
      </c>
      <c r="Q26" s="114">
        <f t="shared" ca="1" si="12"/>
        <v>874756.40169396787</v>
      </c>
      <c r="R26" s="122"/>
      <c r="S26" s="660">
        <v>20</v>
      </c>
      <c r="T26" s="670">
        <f t="shared" si="13"/>
        <v>1169781.8002728084</v>
      </c>
      <c r="U26" s="496">
        <f t="shared" si="14"/>
        <v>66214.064166385375</v>
      </c>
      <c r="V26" s="671">
        <f t="shared" si="15"/>
        <v>-66214.064166385448</v>
      </c>
      <c r="W26" s="662">
        <f t="shared" si="16"/>
        <v>-66214.064166385448</v>
      </c>
      <c r="X26" s="669">
        <f t="shared" ca="1" si="17"/>
        <v>1048099.5303998094</v>
      </c>
      <c r="Y26" s="669">
        <f t="shared" si="18"/>
        <v>1168899.0797941426</v>
      </c>
      <c r="Z26" s="285"/>
      <c r="AA26" s="293">
        <v>1947</v>
      </c>
      <c r="AB26" s="281">
        <f>(AK26/AK15)^(1/10)-1</f>
        <v>4.1046436526147145E-2</v>
      </c>
      <c r="AC26" s="281">
        <f>(AK26/AK5)^(1/20)-1</f>
        <v>3.9581124520012168E-2</v>
      </c>
      <c r="AD26" s="281">
        <f t="shared" si="23"/>
        <v>6.3679000439330391E-2</v>
      </c>
      <c r="AE26" s="282">
        <f>(AO26/1)^(1/20)-1</f>
        <v>5.4991346056065371E-2</v>
      </c>
      <c r="AF26" s="281"/>
      <c r="AG26" s="250">
        <v>1947</v>
      </c>
      <c r="AH26" s="251">
        <v>5.1999999999999998E-2</v>
      </c>
      <c r="AI26" s="252">
        <v>5.7000000000000002E-3</v>
      </c>
      <c r="AJ26" s="253">
        <v>9.1999999999999998E-3</v>
      </c>
      <c r="AK26" s="256">
        <f t="shared" si="24"/>
        <v>2.1735403650858327</v>
      </c>
      <c r="AL26" s="256">
        <f t="shared" si="24"/>
        <v>1.2034733783792806</v>
      </c>
      <c r="AM26" s="256">
        <f t="shared" si="24"/>
        <v>1.8593376534233041</v>
      </c>
      <c r="AN26" s="282">
        <f t="shared" si="4"/>
        <v>5.1999999999999998E-2</v>
      </c>
      <c r="AO26" s="279">
        <f t="shared" si="22"/>
        <v>2.9172788528375992</v>
      </c>
      <c r="AP26" s="244"/>
      <c r="AQ26" s="482">
        <v>1947</v>
      </c>
      <c r="AR26" s="482">
        <v>0</v>
      </c>
      <c r="AS26" s="482">
        <v>5.71</v>
      </c>
      <c r="AT26" s="482">
        <v>5.71</v>
      </c>
      <c r="AU26" s="244"/>
      <c r="AV26" s="244"/>
      <c r="AW26" s="244"/>
      <c r="AX26" s="244"/>
      <c r="AY26" s="244"/>
      <c r="AZ26" s="244"/>
      <c r="BA26" s="244"/>
      <c r="BB26" s="244"/>
      <c r="BC26" s="244"/>
    </row>
    <row r="27" spans="1:55" s="101" customFormat="1" ht="15" customHeight="1">
      <c r="A27" s="109">
        <f t="shared" si="19"/>
        <v>1949</v>
      </c>
      <c r="B27" s="109">
        <v>21</v>
      </c>
      <c r="C27" s="445">
        <v>0</v>
      </c>
      <c r="D27" s="452">
        <v>-50000</v>
      </c>
      <c r="E27" s="108">
        <f t="shared" si="1"/>
        <v>0.18789999999999998</v>
      </c>
      <c r="F27" s="107">
        <f t="shared" si="5"/>
        <v>-662092.54447811085</v>
      </c>
      <c r="G27" s="107">
        <f t="shared" si="2"/>
        <v>-771295.25275895221</v>
      </c>
      <c r="H27" s="529">
        <f t="shared" si="3"/>
        <v>0.10460000000000001</v>
      </c>
      <c r="I27" s="118">
        <f t="shared" si="20"/>
        <v>726063.15345918969</v>
      </c>
      <c r="J27" s="448">
        <f ca="1">-OFFSET(FFIUL!Q23:Q87,J$6-1,0,1,1)</f>
        <v>-2701</v>
      </c>
      <c r="K27" s="458">
        <f t="shared" ca="1" si="6"/>
        <v>589644.44659820839</v>
      </c>
      <c r="L27" s="133">
        <f t="shared" si="7"/>
        <v>233724.00206835711</v>
      </c>
      <c r="M27" s="107">
        <f t="shared" si="8"/>
        <v>616369.57937358576</v>
      </c>
      <c r="N27" s="107">
        <f t="shared" si="9"/>
        <v>1279949.0867303519</v>
      </c>
      <c r="O27" s="107">
        <f t="shared" si="10"/>
        <v>2310995.957491097</v>
      </c>
      <c r="P27" s="107">
        <f t="shared" ca="1" si="11"/>
        <v>1546103.7845959731</v>
      </c>
      <c r="Q27" s="107">
        <f t="shared" ca="1" si="12"/>
        <v>865221.15763397922</v>
      </c>
      <c r="R27" s="122"/>
      <c r="S27" s="658">
        <v>21</v>
      </c>
      <c r="T27" s="670">
        <f t="shared" si="13"/>
        <v>1271768.7082891769</v>
      </c>
      <c r="U27" s="496">
        <f t="shared" si="14"/>
        <v>71986.908016368499</v>
      </c>
      <c r="V27" s="671">
        <f t="shared" si="15"/>
        <v>53510.268292167224</v>
      </c>
      <c r="W27" s="662">
        <f t="shared" si="16"/>
        <v>53510.268292167224</v>
      </c>
      <c r="X27" s="669">
        <f t="shared" ca="1" si="17"/>
        <v>0</v>
      </c>
      <c r="Y27" s="669">
        <f t="shared" si="18"/>
        <v>0</v>
      </c>
      <c r="Z27" s="243"/>
      <c r="AA27" s="293">
        <v>1948</v>
      </c>
      <c r="AB27" s="281">
        <f>(AK27/AK17)^(1/10)-1</f>
        <v>6.576363184834122E-2</v>
      </c>
      <c r="AC27" s="281">
        <f t="shared" ref="AC27:AC58" si="25">(AK27/AK7)^(1/20)-1</f>
        <v>2.3699946401550154E-2</v>
      </c>
      <c r="AD27" s="281">
        <f t="shared" si="23"/>
        <v>5.753873091163908E-2</v>
      </c>
      <c r="AE27" s="282">
        <f t="shared" ref="AE27:AE58" si="26">(AO27/AO7)^(1/20)-1</f>
        <v>5.1941879518140111E-2</v>
      </c>
      <c r="AF27" s="281"/>
      <c r="AG27" s="250">
        <v>1948</v>
      </c>
      <c r="AH27" s="251">
        <v>5.7000000000000002E-2</v>
      </c>
      <c r="AI27" s="252">
        <v>1.0200000000000001E-2</v>
      </c>
      <c r="AJ27" s="253">
        <v>1.95E-2</v>
      </c>
      <c r="AK27" s="256">
        <f t="shared" si="24"/>
        <v>2.2974321658957249</v>
      </c>
      <c r="AL27" s="256">
        <f t="shared" si="24"/>
        <v>1.2157488068387492</v>
      </c>
      <c r="AM27" s="256">
        <f t="shared" si="24"/>
        <v>1.8955947376650588</v>
      </c>
      <c r="AN27" s="282">
        <f t="shared" si="4"/>
        <v>5.7000000000000002E-2</v>
      </c>
      <c r="AO27" s="279">
        <f t="shared" si="22"/>
        <v>3.0835637474493423</v>
      </c>
      <c r="AP27" s="478"/>
      <c r="AQ27" s="482">
        <v>1948</v>
      </c>
      <c r="AR27" s="482">
        <v>-0.65</v>
      </c>
      <c r="AS27" s="482">
        <v>6.15</v>
      </c>
      <c r="AT27" s="482">
        <v>5.5</v>
      </c>
      <c r="AU27" s="478"/>
      <c r="AV27" s="478"/>
      <c r="AW27" s="478"/>
      <c r="AX27" s="478"/>
      <c r="AY27" s="478"/>
      <c r="AZ27" s="478"/>
      <c r="BA27" s="243"/>
      <c r="BB27" s="243"/>
      <c r="BC27" s="243"/>
    </row>
    <row r="28" spans="1:55" s="101" customFormat="1" ht="15" customHeight="1">
      <c r="A28" s="105">
        <f t="shared" si="19"/>
        <v>1950</v>
      </c>
      <c r="B28" s="105">
        <v>22</v>
      </c>
      <c r="C28" s="445">
        <v>0</v>
      </c>
      <c r="D28" s="452">
        <v>-50000</v>
      </c>
      <c r="E28" s="446">
        <f t="shared" si="1"/>
        <v>0.31709999999999999</v>
      </c>
      <c r="F28" s="107">
        <f t="shared" si="5"/>
        <v>-937897.09033211879</v>
      </c>
      <c r="G28" s="107">
        <f t="shared" si="2"/>
        <v>-1053722.6305849871</v>
      </c>
      <c r="H28" s="526">
        <f t="shared" si="3"/>
        <v>0.12</v>
      </c>
      <c r="I28" s="119">
        <f t="shared" si="20"/>
        <v>757190.73187429341</v>
      </c>
      <c r="J28" s="448">
        <f ca="1">-OFFSET(FFIUL!Q24:Q88,J$6-1,0,1,1)</f>
        <v>-2842</v>
      </c>
      <c r="K28" s="447">
        <f t="shared" ca="1" si="6"/>
        <v>601218.74018999422</v>
      </c>
      <c r="L28" s="134">
        <f t="shared" si="7"/>
        <v>187765.93011386105</v>
      </c>
      <c r="M28" s="106">
        <f t="shared" si="8"/>
        <v>589024.3625485294</v>
      </c>
      <c r="N28" s="106">
        <f t="shared" si="9"/>
        <v>1303746.031934174</v>
      </c>
      <c r="O28" s="106">
        <f t="shared" si="10"/>
        <v>2441875.6340903845</v>
      </c>
      <c r="P28" s="107">
        <f t="shared" ca="1" si="11"/>
        <v>1596864.0043975872</v>
      </c>
      <c r="Q28" s="106">
        <f t="shared" ca="1" si="12"/>
        <v>855041.00897608406</v>
      </c>
      <c r="R28" s="122"/>
      <c r="S28" s="657">
        <v>22</v>
      </c>
      <c r="T28" s="670">
        <f t="shared" si="13"/>
        <v>1379874.8307865276</v>
      </c>
      <c r="U28" s="496">
        <f t="shared" si="14"/>
        <v>78106.122497350618</v>
      </c>
      <c r="V28" s="671">
        <f t="shared" si="15"/>
        <v>78106.122497350676</v>
      </c>
      <c r="W28" s="662">
        <f t="shared" si="16"/>
        <v>78106.122497350676</v>
      </c>
      <c r="X28" s="669">
        <f t="shared" ca="1" si="17"/>
        <v>0</v>
      </c>
      <c r="Y28" s="669">
        <f t="shared" si="18"/>
        <v>0</v>
      </c>
      <c r="Z28" s="243"/>
      <c r="AA28" s="293">
        <v>1949</v>
      </c>
      <c r="AB28" s="281">
        <f>(AK28/AK17)^(1/10)-1</f>
        <v>8.382551488267187E-2</v>
      </c>
      <c r="AC28" s="281">
        <f t="shared" si="25"/>
        <v>3.6820202821534753E-2</v>
      </c>
      <c r="AD28" s="281">
        <f t="shared" si="23"/>
        <v>6.959184750592784E-2</v>
      </c>
      <c r="AE28" s="282">
        <f t="shared" si="26"/>
        <v>5.7919559099093743E-2</v>
      </c>
      <c r="AF28" s="281"/>
      <c r="AG28" s="250">
        <v>1949</v>
      </c>
      <c r="AH28" s="251">
        <v>0.183</v>
      </c>
      <c r="AI28" s="252">
        <v>1.0999999999999999E-2</v>
      </c>
      <c r="AJ28" s="253">
        <v>4.6600000000000003E-2</v>
      </c>
      <c r="AK28" s="256">
        <f t="shared" si="24"/>
        <v>2.7178622522546427</v>
      </c>
      <c r="AL28" s="256">
        <f t="shared" si="24"/>
        <v>1.2291220437139754</v>
      </c>
      <c r="AM28" s="256">
        <f t="shared" si="24"/>
        <v>1.9839294524402504</v>
      </c>
      <c r="AN28" s="282">
        <f t="shared" si="4"/>
        <v>0.12</v>
      </c>
      <c r="AO28" s="279">
        <f t="shared" si="22"/>
        <v>3.4535913971432635</v>
      </c>
      <c r="AP28" s="478"/>
      <c r="AQ28" s="483">
        <v>1949</v>
      </c>
      <c r="AR28" s="483">
        <v>10.46</v>
      </c>
      <c r="AS28" s="483">
        <v>8.33</v>
      </c>
      <c r="AT28" s="483">
        <v>18.79</v>
      </c>
      <c r="AU28" s="478"/>
      <c r="AV28" s="478"/>
      <c r="AW28" s="478"/>
      <c r="AX28" s="478"/>
      <c r="AY28" s="478"/>
      <c r="AZ28" s="478"/>
      <c r="BA28" s="243"/>
      <c r="BB28" s="243"/>
      <c r="BC28" s="243"/>
    </row>
    <row r="29" spans="1:55" s="101" customFormat="1" ht="15" customHeight="1">
      <c r="A29" s="105">
        <f t="shared" si="19"/>
        <v>1951</v>
      </c>
      <c r="B29" s="105">
        <v>23</v>
      </c>
      <c r="C29" s="445">
        <v>0</v>
      </c>
      <c r="D29" s="452">
        <v>-50000</v>
      </c>
      <c r="E29" s="446">
        <f t="shared" si="1"/>
        <v>0.2402</v>
      </c>
      <c r="F29" s="107">
        <f t="shared" si="5"/>
        <v>-1225189.9714298944</v>
      </c>
      <c r="G29" s="107">
        <f t="shared" si="2"/>
        <v>-1339796.760318181</v>
      </c>
      <c r="H29" s="526">
        <f t="shared" si="3"/>
        <v>0.12</v>
      </c>
      <c r="I29" s="119">
        <f t="shared" si="20"/>
        <v>792053.6196992097</v>
      </c>
      <c r="J29" s="448">
        <f ca="1">-OFFSET(FFIUL!Q25:Q89,J$6-1,0,1,1)</f>
        <v>-3024</v>
      </c>
      <c r="K29" s="447">
        <f t="shared" ca="1" si="6"/>
        <v>613978.10901279433</v>
      </c>
      <c r="L29" s="134">
        <f t="shared" si="7"/>
        <v>140796.78057636606</v>
      </c>
      <c r="M29" s="106">
        <f t="shared" si="8"/>
        <v>560585.33705047087</v>
      </c>
      <c r="N29" s="106">
        <f t="shared" si="9"/>
        <v>1328970.7938502254</v>
      </c>
      <c r="O29" s="106">
        <f t="shared" si="10"/>
        <v>2583225.684817615</v>
      </c>
      <c r="P29" s="107">
        <f t="shared" ca="1" si="11"/>
        <v>1650954.0884782118</v>
      </c>
      <c r="Q29" s="106">
        <f t="shared" ca="1" si="12"/>
        <v>844139.98817162577</v>
      </c>
      <c r="R29" s="122"/>
      <c r="S29" s="657">
        <v>23</v>
      </c>
      <c r="T29" s="670">
        <f t="shared" si="13"/>
        <v>1494467.3206337194</v>
      </c>
      <c r="U29" s="496">
        <f t="shared" si="14"/>
        <v>84592.489847191653</v>
      </c>
      <c r="V29" s="671">
        <f t="shared" si="15"/>
        <v>84592.489847191609</v>
      </c>
      <c r="W29" s="662">
        <f t="shared" si="16"/>
        <v>84592.489847191609</v>
      </c>
      <c r="X29" s="669">
        <f t="shared" ca="1" si="17"/>
        <v>0</v>
      </c>
      <c r="Y29" s="669">
        <f t="shared" si="18"/>
        <v>0</v>
      </c>
      <c r="Z29" s="243"/>
      <c r="AA29" s="293">
        <v>1950</v>
      </c>
      <c r="AB29" s="281">
        <f>(AK29/AK19)^(1/10)-1</f>
        <v>0.12720810478110756</v>
      </c>
      <c r="AC29" s="281">
        <f t="shared" si="25"/>
        <v>6.6147287940186095E-2</v>
      </c>
      <c r="AD29" s="281">
        <f t="shared" si="23"/>
        <v>8.1782337432643182E-2</v>
      </c>
      <c r="AE29" s="282">
        <f t="shared" si="26"/>
        <v>6.3931206957067666E-2</v>
      </c>
      <c r="AF29" s="281"/>
      <c r="AG29" s="250">
        <v>1950</v>
      </c>
      <c r="AH29" s="251">
        <v>0.30809999999999998</v>
      </c>
      <c r="AI29" s="252">
        <v>1.17E-2</v>
      </c>
      <c r="AJ29" s="253">
        <v>4.3E-3</v>
      </c>
      <c r="AK29" s="256">
        <f t="shared" si="24"/>
        <v>3.5552356121742981</v>
      </c>
      <c r="AL29" s="256">
        <f t="shared" si="24"/>
        <v>1.243502771625429</v>
      </c>
      <c r="AM29" s="256">
        <f t="shared" si="24"/>
        <v>1.9924603490857435</v>
      </c>
      <c r="AN29" s="282">
        <f t="shared" si="4"/>
        <v>0.12</v>
      </c>
      <c r="AO29" s="279">
        <f t="shared" si="22"/>
        <v>3.8680223648004555</v>
      </c>
      <c r="AP29" s="478"/>
      <c r="AQ29" s="482">
        <v>1950</v>
      </c>
      <c r="AR29" s="482">
        <v>21.68</v>
      </c>
      <c r="AS29" s="482">
        <v>10.029999999999999</v>
      </c>
      <c r="AT29" s="482">
        <v>31.71</v>
      </c>
      <c r="AU29" s="478"/>
      <c r="AV29" s="478"/>
      <c r="AW29" s="478"/>
      <c r="AX29" s="478"/>
      <c r="AY29" s="478"/>
      <c r="AZ29" s="478"/>
      <c r="BA29" s="243"/>
      <c r="BB29" s="243"/>
      <c r="BC29" s="243"/>
    </row>
    <row r="30" spans="1:55" s="101" customFormat="1" ht="15" customHeight="1" thickBot="1">
      <c r="A30" s="111">
        <f t="shared" si="19"/>
        <v>1952</v>
      </c>
      <c r="B30" s="111">
        <v>24</v>
      </c>
      <c r="C30" s="445">
        <v>0</v>
      </c>
      <c r="D30" s="452">
        <v>-50000</v>
      </c>
      <c r="E30" s="498">
        <f t="shared" si="1"/>
        <v>0.1837</v>
      </c>
      <c r="F30" s="107">
        <f t="shared" si="5"/>
        <v>-1509442.3691815683</v>
      </c>
      <c r="G30" s="107">
        <f t="shared" si="2"/>
        <v>-1613488.7182816719</v>
      </c>
      <c r="H30" s="527">
        <f t="shared" si="3"/>
        <v>0.11779999999999999</v>
      </c>
      <c r="I30" s="120">
        <f t="shared" si="20"/>
        <v>829467.53609977756</v>
      </c>
      <c r="J30" s="448">
        <f ca="1">-OFFSET(FFIUL!Q26:Q90,J$6-1,0,1,1)</f>
        <v>-3259</v>
      </c>
      <c r="K30" s="501">
        <f t="shared" ca="1" si="6"/>
        <v>626771.82005450223</v>
      </c>
      <c r="L30" s="135">
        <f t="shared" si="7"/>
        <v>92794.309749046151</v>
      </c>
      <c r="M30" s="112">
        <f t="shared" si="8"/>
        <v>531008.75053248997</v>
      </c>
      <c r="N30" s="112">
        <f t="shared" si="9"/>
        <v>1355709.04148124</v>
      </c>
      <c r="O30" s="112">
        <f t="shared" si="10"/>
        <v>2735883.739603024</v>
      </c>
      <c r="P30" s="499">
        <f t="shared" ca="1" si="11"/>
        <v>1708549.8887604692</v>
      </c>
      <c r="Q30" s="112">
        <f t="shared" ca="1" si="12"/>
        <v>832425.80657029711</v>
      </c>
      <c r="R30" s="122"/>
      <c r="S30" s="659">
        <v>24</v>
      </c>
      <c r="T30" s="670">
        <f t="shared" si="13"/>
        <v>1615935.3598717428</v>
      </c>
      <c r="U30" s="496">
        <f t="shared" si="14"/>
        <v>91468.039238023164</v>
      </c>
      <c r="V30" s="671">
        <f t="shared" si="15"/>
        <v>88114.21113262861</v>
      </c>
      <c r="W30" s="662">
        <f t="shared" si="16"/>
        <v>88114.21113262861</v>
      </c>
      <c r="X30" s="669">
        <f t="shared" ca="1" si="17"/>
        <v>0</v>
      </c>
      <c r="Y30" s="669">
        <f t="shared" si="18"/>
        <v>0</v>
      </c>
      <c r="Z30" s="243"/>
      <c r="AA30" s="293">
        <v>1951</v>
      </c>
      <c r="AB30" s="281">
        <f>(AK30/AK19)^(1/10)-1</f>
        <v>0.15142074656239091</v>
      </c>
      <c r="AC30" s="281">
        <f t="shared" si="25"/>
        <v>0.1090747689564775</v>
      </c>
      <c r="AD30" s="281">
        <f t="shared" si="23"/>
        <v>9.4111766380817974E-2</v>
      </c>
      <c r="AE30" s="282">
        <f t="shared" si="26"/>
        <v>6.9977016117436674E-2</v>
      </c>
      <c r="AF30" s="281"/>
      <c r="AG30" s="250">
        <v>1951</v>
      </c>
      <c r="AH30" s="251">
        <v>0.23680000000000001</v>
      </c>
      <c r="AI30" s="252">
        <v>1.4800000000000001E-2</v>
      </c>
      <c r="AJ30" s="253">
        <v>-3.0000000000000001E-3</v>
      </c>
      <c r="AK30" s="256">
        <f t="shared" si="24"/>
        <v>4.3971154051371721</v>
      </c>
      <c r="AL30" s="256">
        <f t="shared" si="24"/>
        <v>1.2619066126454852</v>
      </c>
      <c r="AM30" s="256">
        <f t="shared" si="24"/>
        <v>1.9864829680384863</v>
      </c>
      <c r="AN30" s="282">
        <f t="shared" si="4"/>
        <v>0.12</v>
      </c>
      <c r="AO30" s="279">
        <f t="shared" si="22"/>
        <v>4.3321850485765108</v>
      </c>
      <c r="AP30" s="478"/>
      <c r="AQ30" s="482">
        <v>1951</v>
      </c>
      <c r="AR30" s="482">
        <v>16.350000000000001</v>
      </c>
      <c r="AS30" s="482">
        <v>7.67</v>
      </c>
      <c r="AT30" s="482">
        <v>24.02</v>
      </c>
      <c r="AU30" s="478"/>
      <c r="AV30" s="478"/>
      <c r="AW30" s="478"/>
      <c r="AX30" s="478"/>
      <c r="AY30" s="478"/>
      <c r="AZ30" s="478"/>
      <c r="BA30" s="243"/>
      <c r="BB30" s="243"/>
      <c r="BC30" s="243"/>
    </row>
    <row r="31" spans="1:55" s="95" customFormat="1" ht="15" customHeight="1" thickBot="1">
      <c r="A31" s="116">
        <f t="shared" si="19"/>
        <v>1953</v>
      </c>
      <c r="B31" s="117">
        <v>25</v>
      </c>
      <c r="C31" s="445">
        <v>0</v>
      </c>
      <c r="D31" s="452">
        <v>-50000</v>
      </c>
      <c r="E31" s="500">
        <f t="shared" si="1"/>
        <v>-9.8999999999999991E-3</v>
      </c>
      <c r="F31" s="563">
        <f t="shared" si="5"/>
        <v>-1544003.8897266705</v>
      </c>
      <c r="G31" s="563">
        <f t="shared" si="2"/>
        <v>-1614450.734355446</v>
      </c>
      <c r="H31" s="528">
        <f t="shared" si="3"/>
        <v>0</v>
      </c>
      <c r="I31" s="113">
        <f t="shared" si="20"/>
        <v>779467.53609977756</v>
      </c>
      <c r="J31" s="448">
        <f ca="1">-OFFSET(FFIUL!Q27:Q91,J$6-1,0,1,1)</f>
        <v>-3499</v>
      </c>
      <c r="K31" s="115">
        <f t="shared" ca="1" si="6"/>
        <v>573272.82005450223</v>
      </c>
      <c r="L31" s="136">
        <f t="shared" si="7"/>
        <v>43735.784563525187</v>
      </c>
      <c r="M31" s="115">
        <f t="shared" si="8"/>
        <v>500249.10055378982</v>
      </c>
      <c r="N31" s="115">
        <f t="shared" si="9"/>
        <v>1384051.5839701153</v>
      </c>
      <c r="O31" s="115">
        <f t="shared" si="10"/>
        <v>2900754.4387712656</v>
      </c>
      <c r="P31" s="115">
        <f t="shared" ca="1" si="11"/>
        <v>1769889.230809103</v>
      </c>
      <c r="Q31" s="114">
        <f t="shared" ca="1" si="12"/>
        <v>819850.6893748967</v>
      </c>
      <c r="R31" s="122"/>
      <c r="S31" s="660">
        <v>25</v>
      </c>
      <c r="T31" s="670">
        <f t="shared" si="13"/>
        <v>1744691.4814640475</v>
      </c>
      <c r="U31" s="496">
        <f t="shared" si="14"/>
        <v>98756.121592304567</v>
      </c>
      <c r="V31" s="671">
        <f t="shared" si="15"/>
        <v>-98756.121592304669</v>
      </c>
      <c r="W31" s="662">
        <f t="shared" si="16"/>
        <v>-98756.121592304669</v>
      </c>
      <c r="X31" s="669">
        <f t="shared" ca="1" si="17"/>
        <v>0</v>
      </c>
      <c r="Y31" s="669">
        <f t="shared" si="18"/>
        <v>0</v>
      </c>
      <c r="Z31" s="244"/>
      <c r="AA31" s="294">
        <v>1952</v>
      </c>
      <c r="AB31" s="281">
        <f>(AK31/AK21)^(1/10)-1</f>
        <v>0.1662566733931965</v>
      </c>
      <c r="AC31" s="281">
        <f t="shared" si="25"/>
        <v>0.12342661144223488</v>
      </c>
      <c r="AD31" s="281">
        <f t="shared" si="23"/>
        <v>9.4111766380817974E-2</v>
      </c>
      <c r="AE31" s="282">
        <f t="shared" si="26"/>
        <v>7.6057180702446603E-2</v>
      </c>
      <c r="AF31" s="281"/>
      <c r="AG31" s="250">
        <v>1952</v>
      </c>
      <c r="AH31" s="251">
        <v>0.18149999999999999</v>
      </c>
      <c r="AI31" s="252">
        <v>1.67E-2</v>
      </c>
      <c r="AJ31" s="253">
        <v>2.2700000000000001E-2</v>
      </c>
      <c r="AK31" s="256">
        <f t="shared" si="24"/>
        <v>5.1951918511695689</v>
      </c>
      <c r="AL31" s="256">
        <f t="shared" si="24"/>
        <v>1.2829804530766646</v>
      </c>
      <c r="AM31" s="256">
        <f t="shared" si="24"/>
        <v>2.0315761314129599</v>
      </c>
      <c r="AN31" s="282">
        <f t="shared" si="4"/>
        <v>0.12</v>
      </c>
      <c r="AO31" s="279">
        <f t="shared" si="22"/>
        <v>4.8520472544056927</v>
      </c>
      <c r="AP31" s="244"/>
      <c r="AQ31" s="482">
        <v>1952</v>
      </c>
      <c r="AR31" s="482">
        <v>11.78</v>
      </c>
      <c r="AS31" s="482">
        <v>6.59</v>
      </c>
      <c r="AT31" s="482">
        <v>18.37</v>
      </c>
      <c r="AU31" s="244"/>
      <c r="AV31" s="244"/>
      <c r="AW31" s="244"/>
      <c r="AX31" s="244"/>
      <c r="AY31" s="244"/>
      <c r="AZ31" s="244"/>
      <c r="BA31" s="244"/>
      <c r="BB31" s="244"/>
      <c r="BC31" s="244"/>
    </row>
    <row r="32" spans="1:55" s="102" customFormat="1" ht="15" customHeight="1">
      <c r="A32" s="109">
        <f t="shared" si="19"/>
        <v>1954</v>
      </c>
      <c r="B32" s="109">
        <v>26</v>
      </c>
      <c r="C32" s="445">
        <v>0</v>
      </c>
      <c r="D32" s="452">
        <v>-50000</v>
      </c>
      <c r="E32" s="108">
        <f t="shared" si="1"/>
        <v>0.5262</v>
      </c>
      <c r="F32" s="107">
        <f t="shared" si="5"/>
        <v>-2432768.7365008434</v>
      </c>
      <c r="G32" s="107">
        <f t="shared" si="2"/>
        <v>-2496875.8356212913</v>
      </c>
      <c r="H32" s="529">
        <f t="shared" si="3"/>
        <v>0.12</v>
      </c>
      <c r="I32" s="118">
        <f t="shared" si="20"/>
        <v>817003.64043175196</v>
      </c>
      <c r="J32" s="448">
        <f ca="1">-OFFSET(FFIUL!Q28:Q92,J$6-1,0,1,1)</f>
        <v>-3826</v>
      </c>
      <c r="K32" s="458">
        <f t="shared" ca="1" si="6"/>
        <v>581780.43846104329</v>
      </c>
      <c r="L32" s="133">
        <f t="shared" si="7"/>
        <v>-6402.0281760772614</v>
      </c>
      <c r="M32" s="107">
        <f t="shared" si="8"/>
        <v>468259.06457594165</v>
      </c>
      <c r="N32" s="107">
        <f t="shared" si="9"/>
        <v>1414094.6790083232</v>
      </c>
      <c r="O32" s="107">
        <f t="shared" si="10"/>
        <v>3078814.7938729664</v>
      </c>
      <c r="P32" s="107">
        <f t="shared" ca="1" si="11"/>
        <v>1835141.3785489611</v>
      </c>
      <c r="Q32" s="107">
        <f t="shared" ca="1" si="12"/>
        <v>806280.04638279788</v>
      </c>
      <c r="R32" s="122"/>
      <c r="S32" s="658">
        <v>26</v>
      </c>
      <c r="T32" s="670">
        <f t="shared" si="13"/>
        <v>1881172.9703518904</v>
      </c>
      <c r="U32" s="496">
        <f t="shared" si="14"/>
        <v>106481.48888784285</v>
      </c>
      <c r="V32" s="671">
        <f t="shared" si="15"/>
        <v>106481.48888784298</v>
      </c>
      <c r="W32" s="662">
        <f t="shared" si="16"/>
        <v>106481.48888784298</v>
      </c>
      <c r="X32" s="669">
        <f t="shared" ca="1" si="17"/>
        <v>0</v>
      </c>
      <c r="Y32" s="669">
        <f t="shared" si="18"/>
        <v>0</v>
      </c>
      <c r="Z32" s="243"/>
      <c r="AA32" s="293">
        <v>1953</v>
      </c>
      <c r="AB32" s="281">
        <f>(AK32/AK21)^(1/10)-1</f>
        <v>0.16483775958942681</v>
      </c>
      <c r="AC32" s="281">
        <f t="shared" si="25"/>
        <v>0.10021785566577535</v>
      </c>
      <c r="AD32" s="281">
        <f t="shared" si="23"/>
        <v>8.1782337432643182E-2</v>
      </c>
      <c r="AE32" s="282">
        <f t="shared" si="26"/>
        <v>6.9977016117436674E-2</v>
      </c>
      <c r="AF32" s="281"/>
      <c r="AG32" s="250">
        <v>1953</v>
      </c>
      <c r="AH32" s="251">
        <v>-1.21E-2</v>
      </c>
      <c r="AI32" s="252">
        <v>1.89E-2</v>
      </c>
      <c r="AJ32" s="253">
        <v>4.1399999999999999E-2</v>
      </c>
      <c r="AK32" s="256">
        <f t="shared" si="24"/>
        <v>5.1323300297704169</v>
      </c>
      <c r="AL32" s="256">
        <f t="shared" si="24"/>
        <v>1.3072287836398135</v>
      </c>
      <c r="AM32" s="256">
        <f t="shared" si="24"/>
        <v>2.1156833832534567</v>
      </c>
      <c r="AN32" s="282">
        <f t="shared" si="4"/>
        <v>0</v>
      </c>
      <c r="AO32" s="279">
        <f t="shared" si="22"/>
        <v>4.8520472544056927</v>
      </c>
      <c r="AP32" s="478"/>
      <c r="AQ32" s="482">
        <v>1953</v>
      </c>
      <c r="AR32" s="482">
        <v>-6.62</v>
      </c>
      <c r="AS32" s="482">
        <v>5.63</v>
      </c>
      <c r="AT32" s="482">
        <v>-0.99</v>
      </c>
      <c r="AU32" s="478"/>
      <c r="AV32" s="478"/>
      <c r="AW32" s="478"/>
      <c r="AX32" s="478"/>
      <c r="AY32" s="478"/>
      <c r="AZ32" s="478"/>
      <c r="BA32" s="243"/>
      <c r="BB32" s="243"/>
      <c r="BC32" s="243"/>
    </row>
    <row r="33" spans="1:55" s="102" customFormat="1" ht="15" customHeight="1">
      <c r="A33" s="105">
        <f t="shared" si="19"/>
        <v>1955</v>
      </c>
      <c r="B33" s="105">
        <v>27</v>
      </c>
      <c r="C33" s="445">
        <v>0</v>
      </c>
      <c r="D33" s="452">
        <v>-50000</v>
      </c>
      <c r="E33" s="446">
        <f t="shared" si="1"/>
        <v>0.31559999999999999</v>
      </c>
      <c r="F33" s="107">
        <f t="shared" si="5"/>
        <v>-3266330.5497405073</v>
      </c>
      <c r="G33" s="107">
        <f t="shared" si="2"/>
        <v>-3304754.7717787917</v>
      </c>
      <c r="H33" s="526">
        <f t="shared" si="3"/>
        <v>0.12</v>
      </c>
      <c r="I33" s="119">
        <f t="shared" si="20"/>
        <v>859044.07728356333</v>
      </c>
      <c r="J33" s="448">
        <f ca="1">-OFFSET(FFIUL!Q29:Q93,J$6-1,0,1,1)</f>
        <v>-4004</v>
      </c>
      <c r="K33" s="447">
        <f t="shared" ca="1" si="6"/>
        <v>591109.6110763693</v>
      </c>
      <c r="L33" s="134">
        <f t="shared" si="7"/>
        <v>-57642.872795950992</v>
      </c>
      <c r="M33" s="106">
        <f t="shared" si="8"/>
        <v>434989.42715897952</v>
      </c>
      <c r="N33" s="106">
        <f t="shared" si="9"/>
        <v>1445940.3597488236</v>
      </c>
      <c r="O33" s="106">
        <f t="shared" si="10"/>
        <v>3271119.9773828033</v>
      </c>
      <c r="P33" s="107">
        <f t="shared" ca="1" si="11"/>
        <v>1904732.0995474234</v>
      </c>
      <c r="Q33" s="106">
        <f t="shared" ca="1" si="12"/>
        <v>791814.88080590114</v>
      </c>
      <c r="R33" s="122"/>
      <c r="S33" s="657">
        <v>27</v>
      </c>
      <c r="T33" s="670">
        <f t="shared" si="13"/>
        <v>2025843.3485730039</v>
      </c>
      <c r="U33" s="496">
        <f t="shared" si="14"/>
        <v>114670.37822111342</v>
      </c>
      <c r="V33" s="671">
        <f t="shared" si="15"/>
        <v>114670.3782211137</v>
      </c>
      <c r="W33" s="662">
        <f t="shared" si="16"/>
        <v>114670.3782211137</v>
      </c>
      <c r="X33" s="669">
        <f t="shared" ca="1" si="17"/>
        <v>0</v>
      </c>
      <c r="Y33" s="669">
        <f t="shared" si="18"/>
        <v>0</v>
      </c>
      <c r="Z33" s="243"/>
      <c r="AA33" s="293">
        <v>1954</v>
      </c>
      <c r="AB33" s="281">
        <f>(AK33/AK23)^(1/10)-1</f>
        <v>0.16770199602300151</v>
      </c>
      <c r="AC33" s="281">
        <f t="shared" si="25"/>
        <v>0.12437369845994906</v>
      </c>
      <c r="AD33" s="281">
        <f t="shared" si="23"/>
        <v>8.1782337432643182E-2</v>
      </c>
      <c r="AE33" s="282">
        <f t="shared" si="26"/>
        <v>7.6057180702446603E-2</v>
      </c>
      <c r="AF33" s="281"/>
      <c r="AG33" s="250">
        <v>1954</v>
      </c>
      <c r="AH33" s="251">
        <v>0.52559999999999996</v>
      </c>
      <c r="AI33" s="252">
        <v>9.5999999999999992E-3</v>
      </c>
      <c r="AJ33" s="253">
        <v>3.2899999999999999E-2</v>
      </c>
      <c r="AK33" s="256">
        <f t="shared" si="24"/>
        <v>7.8298826934177468</v>
      </c>
      <c r="AL33" s="256">
        <f t="shared" si="24"/>
        <v>1.3197781799627559</v>
      </c>
      <c r="AM33" s="256">
        <f t="shared" si="24"/>
        <v>2.1852893665624955</v>
      </c>
      <c r="AN33" s="282">
        <f t="shared" si="4"/>
        <v>0.12</v>
      </c>
      <c r="AO33" s="279">
        <f t="shared" si="22"/>
        <v>5.4342929249343763</v>
      </c>
      <c r="AP33" s="478"/>
      <c r="AQ33" s="483">
        <v>1954</v>
      </c>
      <c r="AR33" s="483">
        <v>45.02</v>
      </c>
      <c r="AS33" s="483">
        <v>7.6</v>
      </c>
      <c r="AT33" s="483">
        <v>52.62</v>
      </c>
      <c r="AU33" s="478"/>
      <c r="AV33" s="478"/>
      <c r="AW33" s="478"/>
      <c r="AX33" s="478"/>
      <c r="AY33" s="478"/>
      <c r="AZ33" s="478"/>
      <c r="BA33" s="243"/>
      <c r="BB33" s="243"/>
      <c r="BC33" s="243"/>
    </row>
    <row r="34" spans="1:55" s="102" customFormat="1" ht="15" customHeight="1">
      <c r="A34" s="105">
        <f t="shared" si="19"/>
        <v>1956</v>
      </c>
      <c r="B34" s="105">
        <v>28</v>
      </c>
      <c r="C34" s="445">
        <v>0</v>
      </c>
      <c r="D34" s="452">
        <v>-50000</v>
      </c>
      <c r="E34" s="446">
        <f t="shared" si="1"/>
        <v>6.5599999999999992E-2</v>
      </c>
      <c r="F34" s="107">
        <f t="shared" si="5"/>
        <v>-3533881.8338034865</v>
      </c>
      <c r="G34" s="107">
        <f t="shared" si="2"/>
        <v>-3527853.4084930331</v>
      </c>
      <c r="H34" s="526">
        <f t="shared" si="3"/>
        <v>2.6200000000000001E-2</v>
      </c>
      <c r="I34" s="119">
        <f t="shared" si="20"/>
        <v>830241.03210839233</v>
      </c>
      <c r="J34" s="448">
        <f ca="1">-OFFSET(FFIUL!Q30:Q94,J$6-1,0,1,1)</f>
        <v>-4196</v>
      </c>
      <c r="K34" s="447">
        <f t="shared" ca="1" si="6"/>
        <v>550980.74768656993</v>
      </c>
      <c r="L34" s="134">
        <f t="shared" si="7"/>
        <v>-110011.01599746197</v>
      </c>
      <c r="M34" s="106">
        <f t="shared" si="8"/>
        <v>400389.0042453389</v>
      </c>
      <c r="N34" s="106">
        <f t="shared" si="9"/>
        <v>1479696.7813337541</v>
      </c>
      <c r="O34" s="106">
        <f t="shared" si="10"/>
        <v>3478809.5755734271</v>
      </c>
      <c r="P34" s="107">
        <f t="shared" ca="1" si="11"/>
        <v>1978947.6173959465</v>
      </c>
      <c r="Q34" s="106">
        <f t="shared" ca="1" si="12"/>
        <v>776393.89845952787</v>
      </c>
      <c r="R34" s="122"/>
      <c r="S34" s="657">
        <v>28</v>
      </c>
      <c r="T34" s="670">
        <f t="shared" si="13"/>
        <v>2179193.9494873844</v>
      </c>
      <c r="U34" s="496">
        <f t="shared" si="14"/>
        <v>123350.60091438022</v>
      </c>
      <c r="V34" s="671">
        <f t="shared" si="15"/>
        <v>-69487.505181767978</v>
      </c>
      <c r="W34" s="662">
        <f t="shared" si="16"/>
        <v>-69487.505181767978</v>
      </c>
      <c r="X34" s="669">
        <f t="shared" ca="1" si="17"/>
        <v>0</v>
      </c>
      <c r="Y34" s="669">
        <f t="shared" si="18"/>
        <v>0</v>
      </c>
      <c r="Z34" s="243"/>
      <c r="AA34" s="293">
        <v>1955</v>
      </c>
      <c r="AB34" s="281">
        <f>(AK34/AK23)^(1/10)-1</f>
        <v>0.20111993489297308</v>
      </c>
      <c r="AC34" s="281">
        <f t="shared" si="25"/>
        <v>0.11869173228598262</v>
      </c>
      <c r="AD34" s="281">
        <f t="shared" si="23"/>
        <v>8.1782337432643182E-2</v>
      </c>
      <c r="AE34" s="282">
        <f t="shared" si="26"/>
        <v>7.6057180702446603E-2</v>
      </c>
      <c r="AF34" s="281"/>
      <c r="AG34" s="250">
        <v>1955</v>
      </c>
      <c r="AH34" s="251">
        <v>0.32600000000000001</v>
      </c>
      <c r="AI34" s="252">
        <v>1.66E-2</v>
      </c>
      <c r="AJ34" s="253">
        <v>-1.34E-2</v>
      </c>
      <c r="AK34" s="256">
        <f t="shared" si="24"/>
        <v>10.382424451471932</v>
      </c>
      <c r="AL34" s="256">
        <f t="shared" si="24"/>
        <v>1.3416864977501377</v>
      </c>
      <c r="AM34" s="256">
        <f t="shared" si="24"/>
        <v>2.1560064890505579</v>
      </c>
      <c r="AN34" s="282">
        <f t="shared" si="4"/>
        <v>0.12</v>
      </c>
      <c r="AO34" s="279">
        <f t="shared" si="22"/>
        <v>6.086408075926502</v>
      </c>
      <c r="AP34" s="478"/>
      <c r="AQ34" s="482">
        <v>1955</v>
      </c>
      <c r="AR34" s="482">
        <v>26.4</v>
      </c>
      <c r="AS34" s="482">
        <v>5.16</v>
      </c>
      <c r="AT34" s="482">
        <v>31.56</v>
      </c>
      <c r="AU34" s="478"/>
      <c r="AV34" s="478"/>
      <c r="AW34" s="478"/>
      <c r="AX34" s="478"/>
      <c r="AY34" s="478"/>
      <c r="AZ34" s="478"/>
      <c r="BA34" s="243"/>
      <c r="BB34" s="243"/>
      <c r="BC34" s="243"/>
    </row>
    <row r="35" spans="1:55" s="102" customFormat="1" ht="15" customHeight="1" thickBot="1">
      <c r="A35" s="111">
        <f>A34+1</f>
        <v>1957</v>
      </c>
      <c r="B35" s="111">
        <v>29</v>
      </c>
      <c r="C35" s="445">
        <v>0</v>
      </c>
      <c r="D35" s="452">
        <v>-50000</v>
      </c>
      <c r="E35" s="498">
        <f t="shared" si="1"/>
        <v>-0.10779999999999999</v>
      </c>
      <c r="F35" s="107">
        <f t="shared" si="5"/>
        <v>-3197539.3721194705</v>
      </c>
      <c r="G35" s="107">
        <f t="shared" si="2"/>
        <v>-3146904.5432934542</v>
      </c>
      <c r="H35" s="527">
        <f t="shared" si="3"/>
        <v>0</v>
      </c>
      <c r="I35" s="120">
        <f t="shared" si="20"/>
        <v>780241.03210839233</v>
      </c>
      <c r="J35" s="448">
        <f ca="1">-OFFSET(FFIUL!Q31:Q95,J$6-1,0,1,1)</f>
        <v>-4403</v>
      </c>
      <c r="K35" s="501">
        <f t="shared" ca="1" si="6"/>
        <v>496577.74768656993</v>
      </c>
      <c r="L35" s="135">
        <f t="shared" si="7"/>
        <v>-163531.25834940621</v>
      </c>
      <c r="M35" s="112">
        <f t="shared" si="8"/>
        <v>364404.56441515265</v>
      </c>
      <c r="N35" s="112">
        <f t="shared" si="9"/>
        <v>1515478.5882137804</v>
      </c>
      <c r="O35" s="112">
        <f t="shared" si="10"/>
        <v>3703114.3416193007</v>
      </c>
      <c r="P35" s="499">
        <f t="shared" ca="1" si="11"/>
        <v>2058092.9591448668</v>
      </c>
      <c r="Q35" s="112">
        <f t="shared" ca="1" si="12"/>
        <v>759951.56333556923</v>
      </c>
      <c r="R35" s="122"/>
      <c r="S35" s="659">
        <v>29</v>
      </c>
      <c r="T35" s="670">
        <f t="shared" si="13"/>
        <v>2341745.5864566276</v>
      </c>
      <c r="U35" s="496">
        <f t="shared" si="14"/>
        <v>132551.63696924306</v>
      </c>
      <c r="V35" s="671">
        <f t="shared" si="15"/>
        <v>-132551.63696924318</v>
      </c>
      <c r="W35" s="662">
        <f t="shared" si="16"/>
        <v>-132551.63696924318</v>
      </c>
      <c r="X35" s="669">
        <f t="shared" ca="1" si="17"/>
        <v>0</v>
      </c>
      <c r="Y35" s="669">
        <f t="shared" si="18"/>
        <v>0</v>
      </c>
      <c r="Z35" s="243"/>
      <c r="AA35" s="293">
        <v>1956</v>
      </c>
      <c r="AB35" s="281">
        <f>(AK35/AK25)^(1/10)-1</f>
        <v>0.18367174518072482</v>
      </c>
      <c r="AC35" s="281">
        <f t="shared" si="25"/>
        <v>0.10726074754942272</v>
      </c>
      <c r="AD35" s="281">
        <f t="shared" si="23"/>
        <v>8.9573385226063174E-2</v>
      </c>
      <c r="AE35" s="282">
        <f t="shared" si="26"/>
        <v>7.3823116246421794E-2</v>
      </c>
      <c r="AF35" s="281"/>
      <c r="AG35" s="250">
        <v>1956</v>
      </c>
      <c r="AH35" s="251">
        <v>7.4399999999999994E-2</v>
      </c>
      <c r="AI35" s="252">
        <v>2.5600000000000001E-2</v>
      </c>
      <c r="AJ35" s="253">
        <v>-2.2599999999999999E-2</v>
      </c>
      <c r="AK35" s="256">
        <f t="shared" si="24"/>
        <v>11.154876830661443</v>
      </c>
      <c r="AL35" s="256">
        <f t="shared" si="24"/>
        <v>1.3760336720925412</v>
      </c>
      <c r="AM35" s="256">
        <f t="shared" si="24"/>
        <v>2.1072807423980153</v>
      </c>
      <c r="AN35" s="282">
        <f t="shared" si="4"/>
        <v>7.4399999999999994E-2</v>
      </c>
      <c r="AO35" s="279">
        <f t="shared" si="22"/>
        <v>6.5392368367754337</v>
      </c>
      <c r="AP35" s="478"/>
      <c r="AQ35" s="482">
        <v>1956</v>
      </c>
      <c r="AR35" s="482">
        <v>2.62</v>
      </c>
      <c r="AS35" s="482">
        <v>3.94</v>
      </c>
      <c r="AT35" s="482">
        <v>6.56</v>
      </c>
      <c r="AU35" s="478"/>
      <c r="AV35" s="478"/>
      <c r="AW35" s="478"/>
      <c r="AX35" s="478"/>
      <c r="AY35" s="478"/>
      <c r="AZ35" s="478"/>
      <c r="BA35" s="243"/>
      <c r="BB35" s="243"/>
      <c r="BC35" s="243"/>
    </row>
    <row r="36" spans="1:55" s="94" customFormat="1" ht="15" customHeight="1" thickBot="1">
      <c r="A36" s="116">
        <f t="shared" si="19"/>
        <v>1958</v>
      </c>
      <c r="B36" s="117">
        <v>30</v>
      </c>
      <c r="C36" s="445">
        <v>0</v>
      </c>
      <c r="D36" s="452">
        <v>-50000</v>
      </c>
      <c r="E36" s="500">
        <f t="shared" si="1"/>
        <v>0.43359999999999999</v>
      </c>
      <c r="F36" s="563">
        <f t="shared" si="5"/>
        <v>-4655672.4438704746</v>
      </c>
      <c r="G36" s="563">
        <f t="shared" si="2"/>
        <v>-4523971.5882600006</v>
      </c>
      <c r="H36" s="528">
        <f t="shared" si="3"/>
        <v>0.12</v>
      </c>
      <c r="I36" s="113">
        <f t="shared" si="20"/>
        <v>817869.95596140041</v>
      </c>
      <c r="J36" s="448">
        <f ca="1">-OFFSET(FFIUL!Q32:Q96,J$6-1,0,1,1)</f>
        <v>-4764</v>
      </c>
      <c r="K36" s="115">
        <f t="shared" ca="1" si="6"/>
        <v>494831.39740895893</v>
      </c>
      <c r="L36" s="136">
        <f t="shared" si="7"/>
        <v>-218228.94603309323</v>
      </c>
      <c r="M36" s="115">
        <f t="shared" si="8"/>
        <v>326980.74699175893</v>
      </c>
      <c r="N36" s="115">
        <f t="shared" si="9"/>
        <v>1553407.3035066084</v>
      </c>
      <c r="O36" s="115">
        <f t="shared" si="10"/>
        <v>3945363.4889488444</v>
      </c>
      <c r="P36" s="115">
        <f t="shared" ca="1" si="11"/>
        <v>2142350.1302190498</v>
      </c>
      <c r="Q36" s="114">
        <f t="shared" ca="1" si="12"/>
        <v>742275.98666818987</v>
      </c>
      <c r="R36" s="122"/>
      <c r="S36" s="660">
        <v>30</v>
      </c>
      <c r="T36" s="670">
        <f t="shared" si="13"/>
        <v>2514050.3216440254</v>
      </c>
      <c r="U36" s="496">
        <f t="shared" si="14"/>
        <v>142304.73518739766</v>
      </c>
      <c r="V36" s="671">
        <f t="shared" si="15"/>
        <v>142304.7351873978</v>
      </c>
      <c r="W36" s="662">
        <f t="shared" si="16"/>
        <v>142304.7351873978</v>
      </c>
      <c r="X36" s="669">
        <f t="shared" ca="1" si="17"/>
        <v>0</v>
      </c>
      <c r="Y36" s="669">
        <f t="shared" si="18"/>
        <v>0</v>
      </c>
      <c r="Z36" s="244"/>
      <c r="AA36" s="294">
        <v>1957</v>
      </c>
      <c r="AB36" s="281">
        <f>(AK36/AK25)^(1/10)-1</f>
        <v>0.17066595882887725</v>
      </c>
      <c r="AC36" s="281">
        <f t="shared" si="25"/>
        <v>0.12543125989054582</v>
      </c>
      <c r="AD36" s="281">
        <f t="shared" si="23"/>
        <v>8.4063974666148455E-2</v>
      </c>
      <c r="AE36" s="282">
        <f t="shared" si="26"/>
        <v>7.3823116246421794E-2</v>
      </c>
      <c r="AF36" s="281"/>
      <c r="AG36" s="250">
        <v>1957</v>
      </c>
      <c r="AH36" s="251">
        <v>-0.1046</v>
      </c>
      <c r="AI36" s="252">
        <v>3.2300000000000002E-2</v>
      </c>
      <c r="AJ36" s="253">
        <v>6.8000000000000005E-2</v>
      </c>
      <c r="AK36" s="256">
        <f t="shared" si="24"/>
        <v>9.988076714174257</v>
      </c>
      <c r="AL36" s="256">
        <f t="shared" si="24"/>
        <v>1.4204795597011304</v>
      </c>
      <c r="AM36" s="256">
        <f t="shared" si="24"/>
        <v>2.2505758328810805</v>
      </c>
      <c r="AN36" s="282">
        <f t="shared" si="4"/>
        <v>0</v>
      </c>
      <c r="AO36" s="279">
        <f t="shared" si="22"/>
        <v>6.5392368367754337</v>
      </c>
      <c r="AP36" s="244"/>
      <c r="AQ36" s="482">
        <v>1957</v>
      </c>
      <c r="AR36" s="482">
        <v>-14.31</v>
      </c>
      <c r="AS36" s="482">
        <v>3.53</v>
      </c>
      <c r="AT36" s="482">
        <v>-10.78</v>
      </c>
      <c r="AU36" s="244"/>
      <c r="AV36" s="244"/>
      <c r="AW36" s="244"/>
      <c r="AX36" s="244"/>
      <c r="AY36" s="244"/>
      <c r="AZ36" s="244"/>
      <c r="BA36" s="244"/>
      <c r="BB36" s="244"/>
      <c r="BC36" s="244"/>
    </row>
    <row r="37" spans="1:55" s="103" customFormat="1" ht="15" customHeight="1">
      <c r="A37" s="109">
        <f t="shared" si="19"/>
        <v>1959</v>
      </c>
      <c r="B37" s="109">
        <v>31</v>
      </c>
      <c r="C37" s="445">
        <v>0</v>
      </c>
      <c r="D37" s="452">
        <v>-50000</v>
      </c>
      <c r="E37" s="108">
        <f t="shared" si="1"/>
        <v>0.11960000000000001</v>
      </c>
      <c r="F37" s="107">
        <f t="shared" si="5"/>
        <v>-5268470.868157384</v>
      </c>
      <c r="G37" s="107">
        <f t="shared" si="2"/>
        <v>-5063917.1289080577</v>
      </c>
      <c r="H37" s="529">
        <f t="shared" si="3"/>
        <v>8.48E-2</v>
      </c>
      <c r="I37" s="118">
        <f t="shared" si="20"/>
        <v>832985.32822692627</v>
      </c>
      <c r="J37" s="448">
        <f ca="1">-OFFSET(FFIUL!Q33:Q97,J$6-1,0,1,1)</f>
        <v>-4216</v>
      </c>
      <c r="K37" s="458">
        <f t="shared" ca="1" si="6"/>
        <v>477979.58310923813</v>
      </c>
      <c r="L37" s="133">
        <f t="shared" si="7"/>
        <v>-274129.98284582142</v>
      </c>
      <c r="M37" s="107">
        <f t="shared" si="8"/>
        <v>288059.97687142942</v>
      </c>
      <c r="N37" s="107">
        <f t="shared" si="9"/>
        <v>1593611.7417170058</v>
      </c>
      <c r="O37" s="107">
        <f t="shared" si="10"/>
        <v>4206992.5680647511</v>
      </c>
      <c r="P37" s="107">
        <f t="shared" ca="1" si="11"/>
        <v>2233016.2568299454</v>
      </c>
      <c r="Q37" s="107">
        <f t="shared" ca="1" si="12"/>
        <v>724237.12339177367</v>
      </c>
      <c r="R37" s="122"/>
      <c r="S37" s="658">
        <v>31</v>
      </c>
      <c r="T37" s="670">
        <f t="shared" si="13"/>
        <v>2696693.3409426669</v>
      </c>
      <c r="U37" s="496">
        <f t="shared" si="14"/>
        <v>152643.01929864151</v>
      </c>
      <c r="V37" s="671">
        <f t="shared" si="15"/>
        <v>63092.447976771742</v>
      </c>
      <c r="W37" s="662">
        <f t="shared" si="16"/>
        <v>63092.447976771742</v>
      </c>
      <c r="X37" s="669">
        <f t="shared" ca="1" si="17"/>
        <v>0</v>
      </c>
      <c r="Y37" s="669">
        <f t="shared" si="18"/>
        <v>0</v>
      </c>
      <c r="Z37" s="241"/>
      <c r="AA37" s="293">
        <v>1958</v>
      </c>
      <c r="AB37" s="281">
        <f>(AK37/AK27)^(1/10)-1</f>
        <v>0.20109024036539003</v>
      </c>
      <c r="AC37" s="281">
        <f t="shared" si="25"/>
        <v>0.13140545197087294</v>
      </c>
      <c r="AD37" s="281">
        <f t="shared" si="23"/>
        <v>9.0358254766861545E-2</v>
      </c>
      <c r="AE37" s="282">
        <f t="shared" si="26"/>
        <v>7.3823116246421794E-2</v>
      </c>
      <c r="AF37" s="281"/>
      <c r="AG37" s="250">
        <v>1958</v>
      </c>
      <c r="AH37" s="251">
        <v>0.43719999999999998</v>
      </c>
      <c r="AI37" s="252">
        <v>1.78E-2</v>
      </c>
      <c r="AJ37" s="253">
        <v>-2.1000000000000001E-2</v>
      </c>
      <c r="AK37" s="256">
        <f t="shared" si="24"/>
        <v>14.354863853611242</v>
      </c>
      <c r="AL37" s="256">
        <f t="shared" si="24"/>
        <v>1.4457640958638105</v>
      </c>
      <c r="AM37" s="256">
        <f t="shared" si="24"/>
        <v>2.2033137403905778</v>
      </c>
      <c r="AN37" s="282">
        <f t="shared" si="4"/>
        <v>0.12</v>
      </c>
      <c r="AO37" s="279">
        <f t="shared" si="22"/>
        <v>7.3239452571884867</v>
      </c>
      <c r="AP37" s="241"/>
      <c r="AQ37" s="482">
        <v>1958</v>
      </c>
      <c r="AR37" s="482">
        <v>38.06</v>
      </c>
      <c r="AS37" s="482">
        <v>5.3</v>
      </c>
      <c r="AT37" s="482">
        <v>43.36</v>
      </c>
      <c r="AU37" s="241"/>
      <c r="AV37" s="241"/>
      <c r="AW37" s="241"/>
      <c r="AX37" s="241"/>
      <c r="AY37" s="241"/>
      <c r="AZ37" s="241"/>
      <c r="BA37" s="241"/>
      <c r="BB37" s="241"/>
      <c r="BC37" s="241"/>
    </row>
    <row r="38" spans="1:55" s="103" customFormat="1" ht="15" customHeight="1">
      <c r="A38" s="105">
        <f t="shared" si="19"/>
        <v>1960</v>
      </c>
      <c r="B38" s="105">
        <v>32</v>
      </c>
      <c r="C38" s="445">
        <v>0</v>
      </c>
      <c r="D38" s="452">
        <v>-50000</v>
      </c>
      <c r="E38" s="446">
        <f t="shared" si="1"/>
        <v>4.6999999999999993E-3</v>
      </c>
      <c r="F38" s="107">
        <f t="shared" si="5"/>
        <v>-5343467.6812377172</v>
      </c>
      <c r="G38" s="107">
        <f t="shared" si="2"/>
        <v>-5074785.4350376576</v>
      </c>
      <c r="H38" s="526">
        <f t="shared" si="3"/>
        <v>0</v>
      </c>
      <c r="I38" s="119">
        <f t="shared" si="20"/>
        <v>782985.32822692627</v>
      </c>
      <c r="J38" s="448">
        <f ca="1">-OFFSET(FFIUL!Q34:Q98,J$6-1,0,1,1)</f>
        <v>-4131</v>
      </c>
      <c r="K38" s="447">
        <f t="shared" ca="1" si="6"/>
        <v>423848.58310923813</v>
      </c>
      <c r="L38" s="134">
        <f t="shared" si="7"/>
        <v>-331260.84246842965</v>
      </c>
      <c r="M38" s="106">
        <f t="shared" si="8"/>
        <v>247582.37594628672</v>
      </c>
      <c r="N38" s="106">
        <f t="shared" si="9"/>
        <v>1636228.4462200273</v>
      </c>
      <c r="O38" s="106">
        <f t="shared" si="10"/>
        <v>4489551.973509931</v>
      </c>
      <c r="P38" s="107">
        <f t="shared" ca="1" si="11"/>
        <v>2330055.3923422992</v>
      </c>
      <c r="Q38" s="106">
        <f t="shared" ca="1" si="12"/>
        <v>705339.88011928473</v>
      </c>
      <c r="R38" s="122"/>
      <c r="S38" s="657">
        <v>32</v>
      </c>
      <c r="T38" s="670">
        <f t="shared" si="13"/>
        <v>2890294.9413992269</v>
      </c>
      <c r="U38" s="496">
        <f t="shared" si="14"/>
        <v>163601.60045656</v>
      </c>
      <c r="V38" s="671">
        <f t="shared" si="15"/>
        <v>-163601.60045656003</v>
      </c>
      <c r="W38" s="662">
        <f t="shared" si="16"/>
        <v>-163601.60045656003</v>
      </c>
      <c r="X38" s="669">
        <f t="shared" ca="1" si="17"/>
        <v>0</v>
      </c>
      <c r="Y38" s="669">
        <f t="shared" si="18"/>
        <v>0</v>
      </c>
      <c r="Z38" s="241"/>
      <c r="AA38" s="293">
        <v>1959</v>
      </c>
      <c r="AB38" s="281">
        <f>(AK38/AK27)^(1/10)-1</f>
        <v>0.21484452249525332</v>
      </c>
      <c r="AC38" s="281">
        <f t="shared" si="25"/>
        <v>0.13849462213932351</v>
      </c>
      <c r="AD38" s="281">
        <f t="shared" si="23"/>
        <v>9.0358254766861545E-2</v>
      </c>
      <c r="AE38" s="282">
        <f t="shared" si="26"/>
        <v>7.9925136367992256E-2</v>
      </c>
      <c r="AF38" s="281"/>
      <c r="AG38" s="250">
        <v>1959</v>
      </c>
      <c r="AH38" s="251">
        <v>0.1206</v>
      </c>
      <c r="AI38" s="252">
        <v>3.2599999999999997E-2</v>
      </c>
      <c r="AJ38" s="253">
        <v>-2.6499999999999999E-2</v>
      </c>
      <c r="AK38" s="256">
        <f t="shared" si="24"/>
        <v>16.08606043435676</v>
      </c>
      <c r="AL38" s="256">
        <f t="shared" si="24"/>
        <v>1.4928960053889706</v>
      </c>
      <c r="AM38" s="256">
        <f t="shared" si="24"/>
        <v>2.1449259262702274</v>
      </c>
      <c r="AN38" s="282">
        <f t="shared" si="4"/>
        <v>0.12</v>
      </c>
      <c r="AO38" s="279">
        <f t="shared" si="22"/>
        <v>8.2028186880511065</v>
      </c>
      <c r="AP38" s="241"/>
      <c r="AQ38" s="483">
        <v>1959</v>
      </c>
      <c r="AR38" s="483">
        <v>8.48</v>
      </c>
      <c r="AS38" s="483">
        <v>3.48</v>
      </c>
      <c r="AT38" s="483">
        <v>11.96</v>
      </c>
      <c r="AU38" s="241"/>
      <c r="AV38" s="241"/>
      <c r="AW38" s="241"/>
      <c r="AX38" s="241"/>
      <c r="AY38" s="241"/>
      <c r="AZ38" s="241"/>
      <c r="BA38" s="241"/>
      <c r="BB38" s="241"/>
      <c r="BC38" s="241"/>
    </row>
    <row r="39" spans="1:55" s="103" customFormat="1" ht="15" customHeight="1">
      <c r="A39" s="105">
        <f t="shared" si="19"/>
        <v>1961</v>
      </c>
      <c r="B39" s="105">
        <v>33</v>
      </c>
      <c r="C39" s="445">
        <v>0</v>
      </c>
      <c r="D39" s="452">
        <v>-50000</v>
      </c>
      <c r="E39" s="446">
        <f t="shared" ref="E39:E56" si="27">IF($A$7&gt;0,LOOKUP(MOD(B39-1,(A$3-A$7+1))+A$7,AQ$7:AQ$112,AT$7:AT$112),11)/100</f>
        <v>0.26890000000000003</v>
      </c>
      <c r="F39" s="107">
        <f t="shared" si="5"/>
        <v>-6843771.1407225356</v>
      </c>
      <c r="G39" s="107">
        <f t="shared" ref="G39:G56" si="28">FV((1+E39-K$3)^(1/12)-1,12,-C39,-(G38+D39),1) + (G38+D39)*IF($A$7&gt;0,LOOKUP(MOD(B39-1,(A$3-A$7+1))+A$7,AQ$7:AQ$112,AS$7:AS$112),11)/100*$G$5</f>
        <v>-6434127.1154063037</v>
      </c>
      <c r="H39" s="526">
        <f t="shared" ref="H39:H56" si="29">MIN(MAX(IF($A$7&gt;0,LOOKUP(MOD(B39-1,(A$3-A$7+1))+A$7,AQ$7:AQ$112,AR$7:AR$112),11)/100,B$1),A$1) - $H$6/100</f>
        <v>0.12</v>
      </c>
      <c r="I39" s="119">
        <f t="shared" si="20"/>
        <v>820943.5676141585</v>
      </c>
      <c r="J39" s="448">
        <f ca="1">-OFFSET(FFIUL!Q35:Q99,J$6-1,0,1,1)</f>
        <v>-3974</v>
      </c>
      <c r="K39" s="447">
        <f t="shared" ca="1" si="6"/>
        <v>414259.53308234725</v>
      </c>
      <c r="L39" s="134">
        <f t="shared" si="7"/>
        <v>-389648.5810027353</v>
      </c>
      <c r="M39" s="106">
        <f t="shared" si="8"/>
        <v>205485.67098413827</v>
      </c>
      <c r="N39" s="106">
        <f t="shared" si="9"/>
        <v>1681402.1529932301</v>
      </c>
      <c r="O39" s="106">
        <f t="shared" si="10"/>
        <v>4794716.1313907253</v>
      </c>
      <c r="P39" s="107">
        <f t="shared" ca="1" si="11"/>
        <v>2433983.9806326055</v>
      </c>
      <c r="Q39" s="106">
        <f t="shared" ca="1" si="12"/>
        <v>685613.28090757737</v>
      </c>
      <c r="R39" s="122"/>
      <c r="S39" s="657">
        <v>33</v>
      </c>
      <c r="T39" s="670">
        <f t="shared" si="13"/>
        <v>3095512.6378831808</v>
      </c>
      <c r="U39" s="496">
        <f t="shared" si="14"/>
        <v>175217.69648395359</v>
      </c>
      <c r="V39" s="671">
        <f t="shared" si="15"/>
        <v>175217.69648395386</v>
      </c>
      <c r="W39" s="662">
        <f t="shared" si="16"/>
        <v>175217.69648395386</v>
      </c>
      <c r="X39" s="669">
        <f t="shared" ca="1" si="17"/>
        <v>0</v>
      </c>
      <c r="Y39" s="669">
        <f t="shared" si="18"/>
        <v>0</v>
      </c>
      <c r="Z39" s="241"/>
      <c r="AA39" s="293">
        <v>1960</v>
      </c>
      <c r="AB39" s="281">
        <f>(AK39/AK29)^(1/10)-1</f>
        <v>0.16333699850168681</v>
      </c>
      <c r="AC39" s="281">
        <f t="shared" si="25"/>
        <v>0.14513007702305525</v>
      </c>
      <c r="AD39" s="281">
        <f t="shared" si="23"/>
        <v>7.8437108315353443E-2</v>
      </c>
      <c r="AE39" s="282">
        <f t="shared" si="26"/>
        <v>8.0108427801340421E-2</v>
      </c>
      <c r="AF39" s="281"/>
      <c r="AG39" s="250">
        <v>1960</v>
      </c>
      <c r="AH39" s="251">
        <v>3.3999999999999998E-3</v>
      </c>
      <c r="AI39" s="252">
        <v>3.0499999999999999E-2</v>
      </c>
      <c r="AJ39" s="253">
        <v>0.1164</v>
      </c>
      <c r="AK39" s="256">
        <f t="shared" si="24"/>
        <v>16.140753039833573</v>
      </c>
      <c r="AL39" s="256">
        <f t="shared" si="24"/>
        <v>1.5384293335533341</v>
      </c>
      <c r="AM39" s="256">
        <f t="shared" si="24"/>
        <v>2.3945953040880821</v>
      </c>
      <c r="AN39" s="282">
        <f t="shared" ref="AN39:AN70" si="30">IF(AH39&gt;A$1,A$1,IF(AH39&lt;B$1,B$1,AH39))</f>
        <v>3.3999999999999998E-3</v>
      </c>
      <c r="AO39" s="279">
        <f t="shared" si="22"/>
        <v>8.2307082715904816</v>
      </c>
      <c r="AP39" s="241"/>
      <c r="AQ39" s="482">
        <v>1960</v>
      </c>
      <c r="AR39" s="482">
        <v>-2.97</v>
      </c>
      <c r="AS39" s="482">
        <v>3.44</v>
      </c>
      <c r="AT39" s="482">
        <v>0.47</v>
      </c>
      <c r="AU39" s="241"/>
      <c r="AV39" s="241"/>
      <c r="AW39" s="241"/>
      <c r="AX39" s="241"/>
      <c r="AY39" s="241"/>
      <c r="AZ39" s="241"/>
      <c r="BA39" s="241"/>
      <c r="BB39" s="241"/>
      <c r="BC39" s="241"/>
    </row>
    <row r="40" spans="1:55" s="103" customFormat="1" ht="15" customHeight="1" thickBot="1">
      <c r="A40" s="111">
        <f t="shared" si="19"/>
        <v>1962</v>
      </c>
      <c r="B40" s="111">
        <v>34</v>
      </c>
      <c r="C40" s="445">
        <v>0</v>
      </c>
      <c r="D40" s="452">
        <v>-50000</v>
      </c>
      <c r="E40" s="498">
        <f t="shared" si="27"/>
        <v>-8.7300000000000003E-2</v>
      </c>
      <c r="F40" s="107">
        <f t="shared" si="5"/>
        <v>-6291944.9201374566</v>
      </c>
      <c r="G40" s="107">
        <f t="shared" si="28"/>
        <v>-5845674.0231149392</v>
      </c>
      <c r="H40" s="527">
        <f t="shared" si="29"/>
        <v>0</v>
      </c>
      <c r="I40" s="120">
        <f t="shared" si="20"/>
        <v>770943.5676141585</v>
      </c>
      <c r="J40" s="448">
        <f ca="1">-OFFSET(FFIUL!Q36:Q100,J$6-1,0,1,1)</f>
        <v>-3722</v>
      </c>
      <c r="K40" s="501">
        <f t="shared" ca="1" si="6"/>
        <v>360537.53308234725</v>
      </c>
      <c r="L40" s="135">
        <f t="shared" ref="L40:L56" si="31">FV((1+L$5)^(1/12)-1,12,-$C40,-(L39+$D40),1)</f>
        <v>-449320.84978479566</v>
      </c>
      <c r="M40" s="112">
        <f t="shared" ref="M40:M56" si="32">FV((1+M$5)^(1/12)-1,12,-$C40,-(M39+$D40),1)</f>
        <v>161705.09782350386</v>
      </c>
      <c r="N40" s="112">
        <f t="shared" ref="N40:N56" si="33">FV((1+N$5)^(1/12)-1,12,-$C40,-(N39+$D40),1)</f>
        <v>1729286.2821728252</v>
      </c>
      <c r="O40" s="112">
        <f t="shared" ref="O40:O56" si="34">FV((1+O$5)^(1/12)-1,12,-$C40,-(O39+$D40),1)</f>
        <v>5124293.4219019823</v>
      </c>
      <c r="P40" s="499">
        <f t="shared" ca="1" si="11"/>
        <v>2545378.1195022869</v>
      </c>
      <c r="Q40" s="112">
        <f t="shared" ca="1" si="12"/>
        <v>665111.5196301426</v>
      </c>
      <c r="R40" s="122"/>
      <c r="S40" s="659">
        <v>34</v>
      </c>
      <c r="T40" s="670">
        <f t="shared" ref="T40:T56" si="35">(T39+T$5)*(1+U$5)</f>
        <v>3313043.3961561718</v>
      </c>
      <c r="U40" s="496">
        <f t="shared" ref="U40:U56" si="36">(T39+T$5)*U$5</f>
        <v>187530.75827299085</v>
      </c>
      <c r="V40" s="671">
        <f t="shared" ref="V40:V56" si="37">(T39+T$5)*(1+H40)-T40</f>
        <v>-187530.75827299105</v>
      </c>
      <c r="W40" s="662">
        <f t="shared" si="16"/>
        <v>-187530.75827299105</v>
      </c>
      <c r="X40" s="669">
        <f t="shared" ca="1" si="17"/>
        <v>0</v>
      </c>
      <c r="Y40" s="669">
        <f t="shared" si="18"/>
        <v>0</v>
      </c>
      <c r="Z40" s="241"/>
      <c r="AA40" s="293">
        <v>1961</v>
      </c>
      <c r="AB40" s="281">
        <f>(AK40/AK29)^(1/10)-1</f>
        <v>0.19113951083533043</v>
      </c>
      <c r="AC40" s="281">
        <f t="shared" si="25"/>
        <v>0.166675487248092</v>
      </c>
      <c r="AD40" s="281">
        <f t="shared" si="23"/>
        <v>7.8437108315353443E-2</v>
      </c>
      <c r="AE40" s="282">
        <f t="shared" si="26"/>
        <v>8.624616432442811E-2</v>
      </c>
      <c r="AF40" s="281"/>
      <c r="AG40" s="250">
        <v>1961</v>
      </c>
      <c r="AH40" s="251">
        <v>0.26640000000000003</v>
      </c>
      <c r="AI40" s="252">
        <v>2.2700000000000001E-2</v>
      </c>
      <c r="AJ40" s="253">
        <v>2.06E-2</v>
      </c>
      <c r="AK40" s="256">
        <f t="shared" si="24"/>
        <v>20.440649649645238</v>
      </c>
      <c r="AL40" s="256">
        <f t="shared" si="24"/>
        <v>1.5733516794249947</v>
      </c>
      <c r="AM40" s="256">
        <f t="shared" si="24"/>
        <v>2.4439239673522963</v>
      </c>
      <c r="AN40" s="282">
        <f t="shared" si="30"/>
        <v>0.12</v>
      </c>
      <c r="AO40" s="279">
        <f t="shared" si="22"/>
        <v>9.2183932641813406</v>
      </c>
      <c r="AP40" s="241"/>
      <c r="AQ40" s="482">
        <v>1961</v>
      </c>
      <c r="AR40" s="482">
        <v>23.13</v>
      </c>
      <c r="AS40" s="482">
        <v>3.76</v>
      </c>
      <c r="AT40" s="482">
        <v>26.89</v>
      </c>
      <c r="AU40" s="241"/>
      <c r="AV40" s="241"/>
      <c r="AW40" s="241"/>
      <c r="AX40" s="241"/>
      <c r="AY40" s="241"/>
      <c r="AZ40" s="241"/>
      <c r="BA40" s="241"/>
      <c r="BB40" s="241"/>
      <c r="BC40" s="241"/>
    </row>
    <row r="41" spans="1:55" s="96" customFormat="1" ht="15" customHeight="1" thickBot="1">
      <c r="A41" s="116">
        <f t="shared" si="19"/>
        <v>1963</v>
      </c>
      <c r="B41" s="117">
        <v>35</v>
      </c>
      <c r="C41" s="445">
        <v>0</v>
      </c>
      <c r="D41" s="452">
        <v>-50000</v>
      </c>
      <c r="E41" s="500">
        <f t="shared" si="27"/>
        <v>0.22800000000000001</v>
      </c>
      <c r="F41" s="563">
        <f t="shared" si="5"/>
        <v>-7787908.361928802</v>
      </c>
      <c r="G41" s="563">
        <f t="shared" si="28"/>
        <v>-7157920.1444417825</v>
      </c>
      <c r="H41" s="528">
        <f t="shared" si="29"/>
        <v>0.12</v>
      </c>
      <c r="I41" s="113">
        <f t="shared" si="20"/>
        <v>807456.79572785855</v>
      </c>
      <c r="J41" s="448">
        <f ca="1">-OFFSET(FFIUL!Q37:Q101,J$6-1,0,1,1)</f>
        <v>-3351</v>
      </c>
      <c r="K41" s="115">
        <f t="shared" ca="1" si="6"/>
        <v>344048.91705222934</v>
      </c>
      <c r="L41" s="136">
        <f t="shared" si="31"/>
        <v>-510305.90848006139</v>
      </c>
      <c r="M41" s="115">
        <f t="shared" si="32"/>
        <v>116173.30173644407</v>
      </c>
      <c r="N41" s="115">
        <f t="shared" si="33"/>
        <v>1780043.4591031959</v>
      </c>
      <c r="O41" s="115">
        <f t="shared" si="34"/>
        <v>5480236.89565414</v>
      </c>
      <c r="P41" s="115">
        <f t="shared" ca="1" si="11"/>
        <v>2664878.732968105</v>
      </c>
      <c r="Q41" s="114">
        <f t="shared" ca="1" si="12"/>
        <v>643916.30780491419</v>
      </c>
      <c r="R41" s="122"/>
      <c r="S41" s="660">
        <v>35</v>
      </c>
      <c r="T41" s="670">
        <f t="shared" si="35"/>
        <v>3543625.9999255422</v>
      </c>
      <c r="U41" s="496">
        <f t="shared" si="36"/>
        <v>200582.6037693703</v>
      </c>
      <c r="V41" s="671">
        <f t="shared" si="37"/>
        <v>200582.60376937082</v>
      </c>
      <c r="W41" s="662">
        <f t="shared" si="16"/>
        <v>200582.60376937082</v>
      </c>
      <c r="X41" s="669">
        <f t="shared" ca="1" si="17"/>
        <v>0</v>
      </c>
      <c r="Y41" s="669">
        <f t="shared" si="18"/>
        <v>0</v>
      </c>
      <c r="Z41" s="245"/>
      <c r="AA41" s="294">
        <v>1962</v>
      </c>
      <c r="AB41" s="281">
        <f>(AK41/AK31)^(1/10)-1</f>
        <v>0.13627651869241397</v>
      </c>
      <c r="AC41" s="281">
        <f t="shared" si="25"/>
        <v>0.15116900268597266</v>
      </c>
      <c r="AD41" s="281">
        <f t="shared" si="23"/>
        <v>6.6284315419219642E-2</v>
      </c>
      <c r="AE41" s="282">
        <f t="shared" si="26"/>
        <v>8.0108427801340421E-2</v>
      </c>
      <c r="AF41" s="281"/>
      <c r="AG41" s="250">
        <v>1962</v>
      </c>
      <c r="AH41" s="251">
        <v>-8.8099999999999998E-2</v>
      </c>
      <c r="AI41" s="252">
        <v>2.7799999999999998E-2</v>
      </c>
      <c r="AJ41" s="253">
        <v>5.6899999999999999E-2</v>
      </c>
      <c r="AK41" s="256">
        <f t="shared" ref="AK41:AM56" si="38">AK40*(1+AH41)</f>
        <v>18.639828415511491</v>
      </c>
      <c r="AL41" s="256">
        <f t="shared" si="38"/>
        <v>1.6170908561130095</v>
      </c>
      <c r="AM41" s="256">
        <f t="shared" si="38"/>
        <v>2.5829832410946421</v>
      </c>
      <c r="AN41" s="282">
        <f t="shared" si="30"/>
        <v>0</v>
      </c>
      <c r="AO41" s="279">
        <f t="shared" si="22"/>
        <v>9.2183932641813406</v>
      </c>
      <c r="AP41" s="245"/>
      <c r="AQ41" s="482">
        <v>1962</v>
      </c>
      <c r="AR41" s="482">
        <v>-11.81</v>
      </c>
      <c r="AS41" s="482">
        <v>3.08</v>
      </c>
      <c r="AT41" s="482">
        <v>-8.73</v>
      </c>
      <c r="AU41" s="245"/>
      <c r="AV41" s="245"/>
      <c r="AW41" s="245"/>
      <c r="AX41" s="245"/>
      <c r="AY41" s="245"/>
      <c r="AZ41" s="245"/>
      <c r="BA41" s="245"/>
      <c r="BB41" s="245"/>
      <c r="BC41" s="245"/>
    </row>
    <row r="42" spans="1:55" s="104" customFormat="1" ht="15" customHeight="1">
      <c r="A42" s="109">
        <f t="shared" si="19"/>
        <v>1964</v>
      </c>
      <c r="B42" s="109">
        <v>36</v>
      </c>
      <c r="C42" s="445">
        <v>0</v>
      </c>
      <c r="D42" s="452">
        <v>-50000</v>
      </c>
      <c r="E42" s="108">
        <f t="shared" si="27"/>
        <v>0.1648</v>
      </c>
      <c r="F42" s="107">
        <f t="shared" si="5"/>
        <v>-9129595.6599746682</v>
      </c>
      <c r="G42" s="107">
        <f t="shared" si="28"/>
        <v>-8305088.1250682771</v>
      </c>
      <c r="H42" s="529">
        <f t="shared" si="29"/>
        <v>0.12</v>
      </c>
      <c r="I42" s="118">
        <f t="shared" si="20"/>
        <v>848351.61121520272</v>
      </c>
      <c r="J42" s="448">
        <f ca="1">-OFFSET(FFIUL!Q38:Q102,J$6-1,0,1,1)</f>
        <v>-2827</v>
      </c>
      <c r="K42" s="458">
        <f t="shared" ca="1" si="6"/>
        <v>326168.54709849728</v>
      </c>
      <c r="L42" s="133">
        <f t="shared" si="31"/>
        <v>-572632.63846662303</v>
      </c>
      <c r="M42" s="107">
        <f t="shared" si="32"/>
        <v>68820.233805901866</v>
      </c>
      <c r="N42" s="107">
        <f t="shared" si="33"/>
        <v>1833846.066649389</v>
      </c>
      <c r="O42" s="107">
        <f t="shared" si="34"/>
        <v>5864655.8473064704</v>
      </c>
      <c r="P42" s="107">
        <f t="shared" ca="1" si="11"/>
        <v>2793206.436556865</v>
      </c>
      <c r="Q42" s="107">
        <f t="shared" ca="1" si="12"/>
        <v>622148.59911854065</v>
      </c>
      <c r="R42" s="122"/>
      <c r="S42" s="658">
        <v>36</v>
      </c>
      <c r="T42" s="670">
        <f t="shared" si="35"/>
        <v>3788043.5599210747</v>
      </c>
      <c r="U42" s="496">
        <f t="shared" si="36"/>
        <v>214417.55999553253</v>
      </c>
      <c r="V42" s="671">
        <f t="shared" si="37"/>
        <v>214417.55999553297</v>
      </c>
      <c r="W42" s="662">
        <f t="shared" si="16"/>
        <v>214417.55999553297</v>
      </c>
      <c r="X42" s="669">
        <f t="shared" ca="1" si="17"/>
        <v>0</v>
      </c>
      <c r="Y42" s="669">
        <f t="shared" si="18"/>
        <v>0</v>
      </c>
      <c r="Z42" s="241"/>
      <c r="AA42" s="293">
        <v>1963</v>
      </c>
      <c r="AB42" s="281">
        <f>(AK42/AK31)^(1/10)-1</f>
        <v>0.1596758716087785</v>
      </c>
      <c r="AC42" s="281">
        <f t="shared" si="25"/>
        <v>0.15003076977631236</v>
      </c>
      <c r="AD42" s="281">
        <f t="shared" si="23"/>
        <v>7.8437108315353443E-2</v>
      </c>
      <c r="AE42" s="282">
        <f t="shared" si="26"/>
        <v>8.0108427801340421E-2</v>
      </c>
      <c r="AF42" s="281"/>
      <c r="AG42" s="250">
        <v>1963</v>
      </c>
      <c r="AH42" s="251">
        <v>0.2261</v>
      </c>
      <c r="AI42" s="252">
        <v>3.1099999999999999E-2</v>
      </c>
      <c r="AJ42" s="253">
        <v>1.6799999999999999E-2</v>
      </c>
      <c r="AK42" s="256">
        <f t="shared" si="38"/>
        <v>22.854293620258638</v>
      </c>
      <c r="AL42" s="256">
        <f t="shared" si="38"/>
        <v>1.6673823817381239</v>
      </c>
      <c r="AM42" s="256">
        <f t="shared" si="38"/>
        <v>2.6263773595450317</v>
      </c>
      <c r="AN42" s="282">
        <f t="shared" si="30"/>
        <v>0.12</v>
      </c>
      <c r="AO42" s="279">
        <f t="shared" si="22"/>
        <v>10.324600455883102</v>
      </c>
      <c r="AP42" s="241"/>
      <c r="AQ42" s="482">
        <v>1963</v>
      </c>
      <c r="AR42" s="482">
        <v>18.89</v>
      </c>
      <c r="AS42" s="482">
        <v>3.91</v>
      </c>
      <c r="AT42" s="482">
        <v>22.8</v>
      </c>
      <c r="AU42" s="241"/>
      <c r="AV42" s="241"/>
      <c r="AW42" s="241"/>
      <c r="AX42" s="241"/>
      <c r="AY42" s="241"/>
      <c r="AZ42" s="241"/>
      <c r="BA42" s="241"/>
      <c r="BB42" s="241"/>
      <c r="BC42" s="241"/>
    </row>
    <row r="43" spans="1:55" s="104" customFormat="1" ht="15" customHeight="1">
      <c r="A43" s="105">
        <f t="shared" si="19"/>
        <v>1965</v>
      </c>
      <c r="B43" s="105">
        <v>37</v>
      </c>
      <c r="C43" s="445">
        <v>0</v>
      </c>
      <c r="D43" s="452">
        <v>-50000</v>
      </c>
      <c r="E43" s="446">
        <f t="shared" si="27"/>
        <v>0.1245</v>
      </c>
      <c r="F43" s="107">
        <f t="shared" si="5"/>
        <v>-10322455.319641523</v>
      </c>
      <c r="G43" s="107">
        <f t="shared" si="28"/>
        <v>-9293473.1376590673</v>
      </c>
      <c r="H43" s="526">
        <f t="shared" si="29"/>
        <v>9.06E-2</v>
      </c>
      <c r="I43" s="119">
        <f t="shared" si="20"/>
        <v>870682.26719129994</v>
      </c>
      <c r="J43" s="448">
        <f ca="1">-OFFSET(FFIUL!Q39:Q103,J$6-1,0,1,1)</f>
        <v>-2425</v>
      </c>
      <c r="K43" s="447">
        <f t="shared" ca="1" si="6"/>
        <v>298544.71246562107</v>
      </c>
      <c r="L43" s="134">
        <f t="shared" si="31"/>
        <v>-636330.55651288899</v>
      </c>
      <c r="M43" s="106">
        <f t="shared" si="32"/>
        <v>19573.043158137949</v>
      </c>
      <c r="N43" s="106">
        <f t="shared" si="33"/>
        <v>1890876.8306483536</v>
      </c>
      <c r="O43" s="106">
        <f t="shared" si="34"/>
        <v>6279828.3150909869</v>
      </c>
      <c r="P43" s="107">
        <f t="shared" ca="1" si="11"/>
        <v>2930846.577998444</v>
      </c>
      <c r="Q43" s="106">
        <f t="shared" ca="1" si="12"/>
        <v>599652.93994838616</v>
      </c>
      <c r="R43" s="122"/>
      <c r="S43" s="657">
        <v>37</v>
      </c>
      <c r="T43" s="670">
        <f t="shared" si="35"/>
        <v>4047126.1735163392</v>
      </c>
      <c r="U43" s="496">
        <f t="shared" si="36"/>
        <v>229082.61359526447</v>
      </c>
      <c r="V43" s="671">
        <f t="shared" si="37"/>
        <v>116832.13293358497</v>
      </c>
      <c r="W43" s="662">
        <f t="shared" si="16"/>
        <v>116832.13293358497</v>
      </c>
      <c r="X43" s="669">
        <f t="shared" ca="1" si="17"/>
        <v>0</v>
      </c>
      <c r="Y43" s="669">
        <f t="shared" si="18"/>
        <v>0</v>
      </c>
      <c r="Z43" s="241"/>
      <c r="AA43" s="293">
        <v>1964</v>
      </c>
      <c r="AB43" s="281">
        <f>(AK43/AK33)^(1/10)-1</f>
        <v>0.1301185776523015</v>
      </c>
      <c r="AC43" s="281">
        <f t="shared" si="25"/>
        <v>0.14875659687649589</v>
      </c>
      <c r="AD43" s="281">
        <f t="shared" si="23"/>
        <v>7.8437108315353443E-2</v>
      </c>
      <c r="AE43" s="282">
        <f t="shared" si="26"/>
        <v>8.0108427801340421E-2</v>
      </c>
      <c r="AF43" s="281"/>
      <c r="AG43" s="250">
        <v>1964</v>
      </c>
      <c r="AH43" s="251">
        <v>0.16420000000000001</v>
      </c>
      <c r="AI43" s="252">
        <v>3.5099999999999999E-2</v>
      </c>
      <c r="AJ43" s="253">
        <v>3.73E-2</v>
      </c>
      <c r="AK43" s="256">
        <f t="shared" si="38"/>
        <v>26.606968632705108</v>
      </c>
      <c r="AL43" s="256">
        <f t="shared" si="38"/>
        <v>1.7259075033371318</v>
      </c>
      <c r="AM43" s="256">
        <f t="shared" si="38"/>
        <v>2.7243412350560616</v>
      </c>
      <c r="AN43" s="282">
        <f t="shared" si="30"/>
        <v>0.12</v>
      </c>
      <c r="AO43" s="279">
        <f t="shared" si="22"/>
        <v>11.563552510589075</v>
      </c>
      <c r="AP43" s="241"/>
      <c r="AQ43" s="483">
        <v>1964</v>
      </c>
      <c r="AR43" s="483">
        <v>12.97</v>
      </c>
      <c r="AS43" s="483">
        <v>3.51</v>
      </c>
      <c r="AT43" s="483">
        <v>16.48</v>
      </c>
      <c r="AU43" s="241"/>
      <c r="AV43" s="241"/>
      <c r="AW43" s="241"/>
      <c r="AX43" s="241"/>
      <c r="AY43" s="241"/>
      <c r="AZ43" s="241"/>
      <c r="BA43" s="241"/>
      <c r="BB43" s="241"/>
      <c r="BC43" s="241"/>
    </row>
    <row r="44" spans="1:55" s="104" customFormat="1" ht="15" customHeight="1">
      <c r="A44" s="105">
        <f t="shared" si="19"/>
        <v>1966</v>
      </c>
      <c r="B44" s="105">
        <v>38</v>
      </c>
      <c r="C44" s="445">
        <v>0</v>
      </c>
      <c r="D44" s="452">
        <v>-50000</v>
      </c>
      <c r="E44" s="446">
        <f t="shared" si="27"/>
        <v>-0.10060000000000001</v>
      </c>
      <c r="F44" s="107">
        <f t="shared" si="5"/>
        <v>-9328986.3144855872</v>
      </c>
      <c r="G44" s="107">
        <f t="shared" si="28"/>
        <v>-8300750.8789694523</v>
      </c>
      <c r="H44" s="526">
        <f t="shared" si="29"/>
        <v>0</v>
      </c>
      <c r="I44" s="119">
        <f t="shared" si="20"/>
        <v>820682.26719129994</v>
      </c>
      <c r="J44" s="448">
        <f ca="1">-OFFSET(FFIUL!Q40:Q104,J$6-1,0,1,1)</f>
        <v>-2460</v>
      </c>
      <c r="K44" s="447">
        <f t="shared" ca="1" si="6"/>
        <v>246084.71246562107</v>
      </c>
      <c r="L44" s="134">
        <f t="shared" si="31"/>
        <v>-701429.82875617291</v>
      </c>
      <c r="M44" s="106">
        <f t="shared" si="32"/>
        <v>-31644.035115536546</v>
      </c>
      <c r="N44" s="106">
        <f t="shared" si="33"/>
        <v>1951329.440487256</v>
      </c>
      <c r="O44" s="106">
        <f t="shared" si="34"/>
        <v>6728214.5802982645</v>
      </c>
      <c r="P44" s="107">
        <f t="shared" ca="1" si="11"/>
        <v>3077991.4422629019</v>
      </c>
      <c r="Q44" s="106">
        <f t="shared" ca="1" si="12"/>
        <v>575941.85025359294</v>
      </c>
      <c r="R44" s="122"/>
      <c r="S44" s="657">
        <v>38</v>
      </c>
      <c r="T44" s="670">
        <f t="shared" si="35"/>
        <v>4321753.7439273195</v>
      </c>
      <c r="U44" s="496">
        <f t="shared" si="36"/>
        <v>244627.57041098035</v>
      </c>
      <c r="V44" s="671">
        <f t="shared" si="37"/>
        <v>-244627.57041098038</v>
      </c>
      <c r="W44" s="662">
        <f t="shared" si="16"/>
        <v>-244627.57041098038</v>
      </c>
      <c r="X44" s="669">
        <f t="shared" ca="1" si="17"/>
        <v>0</v>
      </c>
      <c r="Y44" s="669">
        <f t="shared" si="18"/>
        <v>0</v>
      </c>
      <c r="Z44" s="241"/>
      <c r="AA44" s="293">
        <v>1965</v>
      </c>
      <c r="AB44" s="281">
        <f>(AK44/AK33)^(1/10)-1</f>
        <v>0.14340646994006923</v>
      </c>
      <c r="AC44" s="281">
        <f t="shared" si="25"/>
        <v>0.13793681374911304</v>
      </c>
      <c r="AD44" s="281">
        <f t="shared" si="23"/>
        <v>7.8437108315353221E-2</v>
      </c>
      <c r="AE44" s="282">
        <f t="shared" si="26"/>
        <v>8.0108427801340421E-2</v>
      </c>
      <c r="AF44" s="281"/>
      <c r="AG44" s="250">
        <v>1965</v>
      </c>
      <c r="AH44" s="251">
        <v>0.124</v>
      </c>
      <c r="AI44" s="252">
        <v>3.9E-2</v>
      </c>
      <c r="AJ44" s="253">
        <v>7.1999999999999998E-3</v>
      </c>
      <c r="AK44" s="256">
        <f t="shared" si="38"/>
        <v>29.906232743160544</v>
      </c>
      <c r="AL44" s="256">
        <f t="shared" si="38"/>
        <v>1.7932178959672798</v>
      </c>
      <c r="AM44" s="256">
        <f t="shared" si="38"/>
        <v>2.7439564919484654</v>
      </c>
      <c r="AN44" s="282">
        <f t="shared" si="30"/>
        <v>0.12</v>
      </c>
      <c r="AO44" s="279">
        <f t="shared" si="22"/>
        <v>12.951178811859764</v>
      </c>
      <c r="AP44" s="241"/>
      <c r="AQ44" s="482">
        <v>1965</v>
      </c>
      <c r="AR44" s="482">
        <v>9.06</v>
      </c>
      <c r="AS44" s="482">
        <v>3.39</v>
      </c>
      <c r="AT44" s="482">
        <v>12.45</v>
      </c>
      <c r="AU44" s="241"/>
      <c r="AV44" s="241"/>
      <c r="AW44" s="241"/>
      <c r="AX44" s="241"/>
      <c r="AY44" s="241"/>
      <c r="AZ44" s="241"/>
      <c r="BA44" s="241"/>
      <c r="BB44" s="241"/>
      <c r="BC44" s="241"/>
    </row>
    <row r="45" spans="1:55" s="104" customFormat="1" ht="15" customHeight="1" thickBot="1">
      <c r="A45" s="111">
        <f t="shared" si="19"/>
        <v>1967</v>
      </c>
      <c r="B45" s="111">
        <v>39</v>
      </c>
      <c r="C45" s="445">
        <v>0</v>
      </c>
      <c r="D45" s="452">
        <v>-50000</v>
      </c>
      <c r="E45" s="498">
        <f t="shared" si="27"/>
        <v>0.23980000000000001</v>
      </c>
      <c r="F45" s="107">
        <f t="shared" si="5"/>
        <v>-11628067.23269923</v>
      </c>
      <c r="G45" s="107">
        <f t="shared" si="28"/>
        <v>-10237711.59983401</v>
      </c>
      <c r="H45" s="527">
        <f t="shared" si="29"/>
        <v>0.12</v>
      </c>
      <c r="I45" s="120">
        <f t="shared" si="20"/>
        <v>863164.13925425708</v>
      </c>
      <c r="J45" s="448">
        <f ca="1">-OFFSET(FFIUL!Q41:Q105,J$6-1,0,1,1)</f>
        <v>-2411</v>
      </c>
      <c r="K45" s="501">
        <f t="shared" ca="1" si="6"/>
        <v>216914.55796149588</v>
      </c>
      <c r="L45" s="135">
        <f t="shared" si="31"/>
        <v>-767961.28498880903</v>
      </c>
      <c r="M45" s="112">
        <f t="shared" si="32"/>
        <v>-84909.796520158052</v>
      </c>
      <c r="N45" s="112">
        <f t="shared" si="33"/>
        <v>2015409.2069164927</v>
      </c>
      <c r="O45" s="112">
        <f t="shared" si="34"/>
        <v>7212471.7467221245</v>
      </c>
      <c r="P45" s="499">
        <f t="shared" ca="1" si="11"/>
        <v>3235387.0052460684</v>
      </c>
      <c r="Q45" s="112">
        <f t="shared" ca="1" si="12"/>
        <v>551037.97211471386</v>
      </c>
      <c r="R45" s="122"/>
      <c r="S45" s="659">
        <v>39</v>
      </c>
      <c r="T45" s="670">
        <f t="shared" si="35"/>
        <v>4612858.9685629588</v>
      </c>
      <c r="U45" s="496">
        <f t="shared" si="36"/>
        <v>261105.22463563917</v>
      </c>
      <c r="V45" s="671">
        <f t="shared" si="37"/>
        <v>261105.22463563923</v>
      </c>
      <c r="W45" s="662">
        <f t="shared" si="16"/>
        <v>261105.22463563923</v>
      </c>
      <c r="X45" s="669">
        <f t="shared" ca="1" si="17"/>
        <v>0</v>
      </c>
      <c r="Y45" s="669">
        <f t="shared" si="18"/>
        <v>0</v>
      </c>
      <c r="Z45" s="241"/>
      <c r="AA45" s="293">
        <v>1966</v>
      </c>
      <c r="AB45" s="281">
        <f>(AK45/AK35)^(1/10)-1</f>
        <v>9.2115115351915078E-2</v>
      </c>
      <c r="AC45" s="281">
        <f t="shared" si="25"/>
        <v>0.13697220921482955</v>
      </c>
      <c r="AD45" s="281">
        <f t="shared" si="23"/>
        <v>7.0725691014774439E-2</v>
      </c>
      <c r="AE45" s="282">
        <f t="shared" si="26"/>
        <v>8.0108427801340421E-2</v>
      </c>
      <c r="AF45" s="281"/>
      <c r="AG45" s="250">
        <v>1966</v>
      </c>
      <c r="AH45" s="251">
        <v>-9.9699999999999997E-2</v>
      </c>
      <c r="AI45" s="252">
        <v>4.8399999999999999E-2</v>
      </c>
      <c r="AJ45" s="253">
        <v>2.9100000000000001E-2</v>
      </c>
      <c r="AK45" s="256">
        <f t="shared" si="38"/>
        <v>26.924581338667437</v>
      </c>
      <c r="AL45" s="256">
        <f t="shared" si="38"/>
        <v>1.8800096421320962</v>
      </c>
      <c r="AM45" s="256">
        <f t="shared" si="38"/>
        <v>2.8238056258641655</v>
      </c>
      <c r="AN45" s="282">
        <f t="shared" si="30"/>
        <v>0</v>
      </c>
      <c r="AO45" s="279">
        <f t="shared" si="22"/>
        <v>12.951178811859764</v>
      </c>
      <c r="AP45" s="241"/>
      <c r="AQ45" s="482">
        <v>1966</v>
      </c>
      <c r="AR45" s="482">
        <v>-13.09</v>
      </c>
      <c r="AS45" s="482">
        <v>3.03</v>
      </c>
      <c r="AT45" s="482">
        <v>-10.06</v>
      </c>
      <c r="AU45" s="241"/>
      <c r="AV45" s="241"/>
      <c r="AW45" s="241"/>
      <c r="AX45" s="241"/>
      <c r="AY45" s="241"/>
      <c r="AZ45" s="241"/>
      <c r="BA45" s="241"/>
      <c r="BB45" s="241"/>
      <c r="BC45" s="241"/>
    </row>
    <row r="46" spans="1:55" s="97" customFormat="1" ht="15" customHeight="1" thickBot="1">
      <c r="A46" s="116">
        <f t="shared" si="19"/>
        <v>1968</v>
      </c>
      <c r="B46" s="117">
        <v>40</v>
      </c>
      <c r="C46" s="445">
        <v>0</v>
      </c>
      <c r="D46" s="452">
        <v>-50000</v>
      </c>
      <c r="E46" s="500">
        <f t="shared" si="27"/>
        <v>0.1106</v>
      </c>
      <c r="F46" s="563">
        <f t="shared" si="5"/>
        <v>-12969661.468635758</v>
      </c>
      <c r="G46" s="563">
        <f t="shared" si="28"/>
        <v>-11299816.667025687</v>
      </c>
      <c r="H46" s="528">
        <f t="shared" si="29"/>
        <v>7.6600000000000001E-2</v>
      </c>
      <c r="I46" s="113">
        <f t="shared" si="20"/>
        <v>875452.51232113224</v>
      </c>
      <c r="J46" s="448">
        <f ca="1">-OFFSET(FFIUL!Q42:Q106,J$6-1,0,1,1)</f>
        <v>-2247</v>
      </c>
      <c r="K46" s="115">
        <f t="shared" ca="1" si="6"/>
        <v>177281.09290134627</v>
      </c>
      <c r="L46" s="136">
        <f t="shared" si="31"/>
        <v>-835956.43325856316</v>
      </c>
      <c r="M46" s="115">
        <f t="shared" si="32"/>
        <v>-140306.18838096445</v>
      </c>
      <c r="N46" s="115">
        <f t="shared" si="33"/>
        <v>2083333.7593314836</v>
      </c>
      <c r="O46" s="115">
        <f t="shared" si="34"/>
        <v>7735469.4864598932</v>
      </c>
      <c r="P46" s="115">
        <f t="shared" ca="1" si="11"/>
        <v>3403863.1049148054</v>
      </c>
      <c r="Q46" s="114">
        <f t="shared" ca="1" si="12"/>
        <v>524997.00824518432</v>
      </c>
      <c r="R46" s="122"/>
      <c r="S46" s="660">
        <v>40</v>
      </c>
      <c r="T46" s="670">
        <f t="shared" si="35"/>
        <v>4921430.5066767363</v>
      </c>
      <c r="U46" s="496">
        <f t="shared" si="36"/>
        <v>278571.53811377753</v>
      </c>
      <c r="V46" s="671">
        <f t="shared" si="37"/>
        <v>77071.458878145553</v>
      </c>
      <c r="W46" s="662">
        <f t="shared" si="16"/>
        <v>77071.458878145553</v>
      </c>
      <c r="X46" s="669">
        <f t="shared" ca="1" si="17"/>
        <v>0</v>
      </c>
      <c r="Y46" s="669">
        <f t="shared" si="18"/>
        <v>0</v>
      </c>
      <c r="Z46" s="245"/>
      <c r="AA46" s="294">
        <v>1967</v>
      </c>
      <c r="AB46" s="281">
        <f>(AK46/AK35)^(1/10)-1</f>
        <v>0.11568214399465759</v>
      </c>
      <c r="AC46" s="281">
        <f t="shared" si="25"/>
        <v>0.14626516576174464</v>
      </c>
      <c r="AD46" s="281">
        <f t="shared" si="23"/>
        <v>8.2929103728724307E-2</v>
      </c>
      <c r="AE46" s="282">
        <f t="shared" si="26"/>
        <v>8.3496390612267213E-2</v>
      </c>
      <c r="AF46" s="281"/>
      <c r="AG46" s="250">
        <v>1967</v>
      </c>
      <c r="AH46" s="251">
        <v>0.23799999999999999</v>
      </c>
      <c r="AI46" s="252">
        <v>4.3299999999999998E-2</v>
      </c>
      <c r="AJ46" s="253">
        <v>-1.5800000000000002E-2</v>
      </c>
      <c r="AK46" s="256">
        <f t="shared" si="38"/>
        <v>33.332631697270287</v>
      </c>
      <c r="AL46" s="256">
        <f t="shared" si="38"/>
        <v>1.9614140596364158</v>
      </c>
      <c r="AM46" s="256">
        <f t="shared" si="38"/>
        <v>2.7791894969755115</v>
      </c>
      <c r="AN46" s="282">
        <f t="shared" si="30"/>
        <v>0.12</v>
      </c>
      <c r="AO46" s="279">
        <f t="shared" si="22"/>
        <v>14.505320269282937</v>
      </c>
      <c r="AP46" s="245"/>
      <c r="AQ46" s="482">
        <v>1967</v>
      </c>
      <c r="AR46" s="482">
        <v>20.09</v>
      </c>
      <c r="AS46" s="482">
        <v>3.89</v>
      </c>
      <c r="AT46" s="482">
        <v>23.98</v>
      </c>
      <c r="AU46" s="245"/>
      <c r="AV46" s="245"/>
      <c r="AW46" s="245"/>
      <c r="AX46" s="245"/>
      <c r="AY46" s="245"/>
      <c r="AZ46" s="245"/>
      <c r="BA46" s="245"/>
      <c r="BB46" s="245"/>
      <c r="BC46" s="245"/>
    </row>
    <row r="47" spans="1:55" ht="15" customHeight="1">
      <c r="A47" s="109">
        <f t="shared" si="19"/>
        <v>1969</v>
      </c>
      <c r="B47" s="109">
        <v>41</v>
      </c>
      <c r="C47" s="445">
        <v>0</v>
      </c>
      <c r="D47" s="452">
        <v>-50000</v>
      </c>
      <c r="E47" s="108">
        <f t="shared" si="27"/>
        <v>-8.5000000000000006E-2</v>
      </c>
      <c r="F47" s="107">
        <f t="shared" si="5"/>
        <v>-11912990.243801717</v>
      </c>
      <c r="G47" s="107">
        <f t="shared" si="28"/>
        <v>-10266612.863958087</v>
      </c>
      <c r="H47" s="529">
        <f t="shared" si="29"/>
        <v>0</v>
      </c>
      <c r="I47" s="118">
        <f t="shared" si="20"/>
        <v>825452.51232113224</v>
      </c>
      <c r="J47" s="448">
        <f ca="1">-OFFSET(FFIUL!Q43:Q107,J$6-1,0,1,1)</f>
        <v>-1927</v>
      </c>
      <c r="K47" s="458">
        <f t="shared" ca="1" si="6"/>
        <v>125354.09290134627</v>
      </c>
      <c r="L47" s="133">
        <f t="shared" si="31"/>
        <v>-905447.47479025193</v>
      </c>
      <c r="M47" s="107">
        <f t="shared" si="32"/>
        <v>-197918.43591620313</v>
      </c>
      <c r="N47" s="107">
        <f t="shared" si="33"/>
        <v>2155333.7848913739</v>
      </c>
      <c r="O47" s="107">
        <f t="shared" si="34"/>
        <v>8300307.0453766836</v>
      </c>
      <c r="P47" s="107">
        <f t="shared" ca="1" si="11"/>
        <v>3584349.6261408059</v>
      </c>
      <c r="Q47" s="107">
        <f t="shared" ca="1" si="12"/>
        <v>497919.73713371268</v>
      </c>
      <c r="R47" s="122"/>
      <c r="S47" s="658">
        <v>41</v>
      </c>
      <c r="T47" s="670">
        <f t="shared" si="35"/>
        <v>5248516.337077341</v>
      </c>
      <c r="U47" s="496">
        <f t="shared" si="36"/>
        <v>297085.83040060417</v>
      </c>
      <c r="V47" s="671">
        <f t="shared" si="37"/>
        <v>-297085.83040060475</v>
      </c>
      <c r="W47" s="662">
        <f t="shared" si="16"/>
        <v>-297085.83040060475</v>
      </c>
      <c r="X47" s="669">
        <f t="shared" ca="1" si="17"/>
        <v>0</v>
      </c>
      <c r="Y47" s="669">
        <f t="shared" si="18"/>
        <v>0</v>
      </c>
      <c r="AA47" s="293">
        <v>1968</v>
      </c>
      <c r="AB47" s="281">
        <f>(AK47/AK37)^(1/10)-1</f>
        <v>9.9119588859039709E-2</v>
      </c>
      <c r="AC47" s="281">
        <f t="shared" si="25"/>
        <v>0.1489742430415979</v>
      </c>
      <c r="AD47" s="281">
        <f t="shared" si="23"/>
        <v>8.1772952884412886E-2</v>
      </c>
      <c r="AE47" s="282">
        <f t="shared" si="26"/>
        <v>8.6057120487243344E-2</v>
      </c>
      <c r="AF47" s="281"/>
      <c r="AG47" s="250">
        <v>1968</v>
      </c>
      <c r="AH47" s="251">
        <v>0.1081</v>
      </c>
      <c r="AI47" s="252">
        <v>5.2600000000000001E-2</v>
      </c>
      <c r="AJ47" s="253">
        <v>3.27E-2</v>
      </c>
      <c r="AK47" s="256">
        <f t="shared" si="38"/>
        <v>36.935889183745211</v>
      </c>
      <c r="AL47" s="256">
        <f t="shared" si="38"/>
        <v>2.064584439173291</v>
      </c>
      <c r="AM47" s="256">
        <f t="shared" si="38"/>
        <v>2.8700689935266106</v>
      </c>
      <c r="AN47" s="282">
        <f t="shared" si="30"/>
        <v>0.1081</v>
      </c>
      <c r="AO47" s="279">
        <f t="shared" si="22"/>
        <v>16.073345390392422</v>
      </c>
      <c r="AQ47" s="482">
        <v>1968</v>
      </c>
      <c r="AR47" s="482">
        <v>7.66</v>
      </c>
      <c r="AS47" s="482">
        <v>3.4</v>
      </c>
      <c r="AT47" s="482">
        <v>11.06</v>
      </c>
    </row>
    <row r="48" spans="1:55" ht="15" customHeight="1">
      <c r="A48" s="105">
        <f t="shared" si="19"/>
        <v>1970</v>
      </c>
      <c r="B48" s="105">
        <v>42</v>
      </c>
      <c r="C48" s="445">
        <v>0</v>
      </c>
      <c r="D48" s="452">
        <v>-50000</v>
      </c>
      <c r="E48" s="446">
        <f t="shared" si="27"/>
        <v>4.0099999999999997E-2</v>
      </c>
      <c r="F48" s="107">
        <f t="shared" si="5"/>
        <v>-12442706.152578173</v>
      </c>
      <c r="G48" s="107">
        <f t="shared" si="28"/>
        <v>-10586877.171155205</v>
      </c>
      <c r="H48" s="526">
        <f t="shared" si="29"/>
        <v>1E-3</v>
      </c>
      <c r="I48" s="119">
        <f t="shared" si="20"/>
        <v>776227.96483345469</v>
      </c>
      <c r="J48" s="448">
        <f ca="1">-OFFSET(FFIUL!Q44:Q108,J$6-1,0,1,1)</f>
        <v>-2296</v>
      </c>
      <c r="K48" s="447">
        <f t="shared" ca="1" si="6"/>
        <v>73131.150994247742</v>
      </c>
      <c r="L48" s="134">
        <f t="shared" si="31"/>
        <v>-976467.3192356379</v>
      </c>
      <c r="M48" s="106">
        <f t="shared" si="32"/>
        <v>-257835.17335285139</v>
      </c>
      <c r="N48" s="106">
        <f t="shared" si="33"/>
        <v>2231653.811984858</v>
      </c>
      <c r="O48" s="106">
        <f t="shared" si="34"/>
        <v>8910331.6090068165</v>
      </c>
      <c r="P48" s="107">
        <f t="shared" ca="1" si="11"/>
        <v>3776964.5092666335</v>
      </c>
      <c r="Q48" s="106">
        <f t="shared" ca="1" si="12"/>
        <v>469043.41083220631</v>
      </c>
      <c r="R48" s="122"/>
      <c r="S48" s="657">
        <v>42</v>
      </c>
      <c r="T48" s="670">
        <f t="shared" si="35"/>
        <v>5595227.3173019821</v>
      </c>
      <c r="U48" s="496">
        <f t="shared" si="36"/>
        <v>316710.98022464046</v>
      </c>
      <c r="V48" s="671">
        <f t="shared" si="37"/>
        <v>-311432.46388756391</v>
      </c>
      <c r="W48" s="662">
        <f t="shared" si="16"/>
        <v>-311432.46388756391</v>
      </c>
      <c r="X48" s="669">
        <f t="shared" ca="1" si="17"/>
        <v>0</v>
      </c>
      <c r="Y48" s="669">
        <f t="shared" si="18"/>
        <v>0</v>
      </c>
      <c r="AA48" s="293">
        <v>1969</v>
      </c>
      <c r="AB48" s="281">
        <f>(AK48/AK37)^(1/10)-1</f>
        <v>8.9708374651638501E-2</v>
      </c>
      <c r="AC48" s="281">
        <f t="shared" si="25"/>
        <v>0.13447185524358463</v>
      </c>
      <c r="AD48" s="281">
        <f t="shared" si="23"/>
        <v>6.9582568711171744E-2</v>
      </c>
      <c r="AE48" s="282">
        <f t="shared" si="26"/>
        <v>7.992045213940191E-2</v>
      </c>
      <c r="AF48" s="281"/>
      <c r="AG48" s="250">
        <v>1969</v>
      </c>
      <c r="AH48" s="251">
        <v>-8.2400000000000001E-2</v>
      </c>
      <c r="AI48" s="252">
        <v>6.5600000000000006E-2</v>
      </c>
      <c r="AJ48" s="253">
        <v>-5.0099999999999999E-2</v>
      </c>
      <c r="AK48" s="256">
        <f t="shared" si="38"/>
        <v>33.892371915004603</v>
      </c>
      <c r="AL48" s="256">
        <f t="shared" si="38"/>
        <v>2.200021178383059</v>
      </c>
      <c r="AM48" s="256">
        <f t="shared" si="38"/>
        <v>2.7262785369509275</v>
      </c>
      <c r="AN48" s="282">
        <f t="shared" si="30"/>
        <v>0</v>
      </c>
      <c r="AO48" s="279">
        <f t="shared" si="22"/>
        <v>16.073345390392422</v>
      </c>
      <c r="AQ48" s="483">
        <v>1969</v>
      </c>
      <c r="AR48" s="483">
        <v>-11.36</v>
      </c>
      <c r="AS48" s="483">
        <v>2.86</v>
      </c>
      <c r="AT48" s="483">
        <v>-8.5</v>
      </c>
    </row>
    <row r="49" spans="1:55" ht="15" customHeight="1">
      <c r="A49" s="105">
        <f>A48+1</f>
        <v>1971</v>
      </c>
      <c r="B49" s="105">
        <v>43</v>
      </c>
      <c r="C49" s="445">
        <v>0</v>
      </c>
      <c r="D49" s="452">
        <v>-50000</v>
      </c>
      <c r="E49" s="446">
        <f t="shared" si="27"/>
        <v>0.1431</v>
      </c>
      <c r="F49" s="107">
        <f t="shared" si="5"/>
        <v>-14280412.403012116</v>
      </c>
      <c r="G49" s="107">
        <f t="shared" si="28"/>
        <v>-12024819.451956218</v>
      </c>
      <c r="H49" s="526">
        <f t="shared" si="29"/>
        <v>0.1079</v>
      </c>
      <c r="I49" s="119">
        <f t="shared" si="20"/>
        <v>804587.96223898453</v>
      </c>
      <c r="J49" s="448">
        <f ca="1">-OFFSET(FFIUL!Q45:Q109,J$6-1,0,1,1)</f>
        <v>-2731</v>
      </c>
      <c r="K49" s="447">
        <f t="shared" ca="1" si="6"/>
        <v>22601.327286527077</v>
      </c>
      <c r="L49" s="134">
        <f t="shared" si="31"/>
        <v>-1049049.6002588223</v>
      </c>
      <c r="M49" s="106">
        <f t="shared" si="32"/>
        <v>-320148.58028696565</v>
      </c>
      <c r="N49" s="106">
        <f t="shared" si="33"/>
        <v>2312553.0407039509</v>
      </c>
      <c r="O49" s="106">
        <f t="shared" si="34"/>
        <v>9569158.1377273612</v>
      </c>
      <c r="P49" s="107">
        <f t="shared" ca="1" si="11"/>
        <v>3982480.0227350425</v>
      </c>
      <c r="Q49" s="106">
        <f t="shared" ca="1" si="12"/>
        <v>438205.84539100813</v>
      </c>
      <c r="R49" s="122"/>
      <c r="S49" s="657">
        <v>43</v>
      </c>
      <c r="T49" s="670">
        <f t="shared" si="35"/>
        <v>5962740.9563401015</v>
      </c>
      <c r="U49" s="496">
        <f t="shared" si="36"/>
        <v>337513.63903811894</v>
      </c>
      <c r="V49" s="671">
        <f t="shared" si="37"/>
        <v>269448.38849876355</v>
      </c>
      <c r="W49" s="662">
        <f t="shared" si="16"/>
        <v>269448.38849876355</v>
      </c>
      <c r="X49" s="669">
        <f t="shared" ca="1" si="17"/>
        <v>0</v>
      </c>
      <c r="Y49" s="669">
        <f t="shared" si="18"/>
        <v>0</v>
      </c>
      <c r="AA49" s="293">
        <v>1970</v>
      </c>
      <c r="AB49" s="281">
        <f>(AK49/AK39)^(1/10)-1</f>
        <v>8.0779307803280354E-2</v>
      </c>
      <c r="AC49" s="281">
        <f t="shared" si="25"/>
        <v>0.12129860250630786</v>
      </c>
      <c r="AD49" s="281">
        <f t="shared" ref="AD49:AD80" si="39">(AO49/AO39)^(1/10)-1</f>
        <v>7.2966372267540214E-2</v>
      </c>
      <c r="AE49" s="282">
        <f t="shared" si="26"/>
        <v>7.5698262445292208E-2</v>
      </c>
      <c r="AF49" s="281"/>
      <c r="AG49" s="250">
        <v>1970</v>
      </c>
      <c r="AH49" s="251">
        <v>3.56E-2</v>
      </c>
      <c r="AI49" s="252">
        <v>6.6900000000000001E-2</v>
      </c>
      <c r="AJ49" s="253">
        <v>0.16750000000000001</v>
      </c>
      <c r="AK49" s="256">
        <f t="shared" si="38"/>
        <v>35.098940355178769</v>
      </c>
      <c r="AL49" s="256">
        <f t="shared" si="38"/>
        <v>2.3472025952168853</v>
      </c>
      <c r="AM49" s="256">
        <f t="shared" si="38"/>
        <v>3.182930191890208</v>
      </c>
      <c r="AN49" s="282">
        <f t="shared" si="30"/>
        <v>3.56E-2</v>
      </c>
      <c r="AO49" s="279">
        <f t="shared" si="22"/>
        <v>16.645556486290392</v>
      </c>
      <c r="AQ49" s="480">
        <v>1970</v>
      </c>
      <c r="AR49" s="480">
        <v>0.1</v>
      </c>
      <c r="AS49" s="480">
        <v>3.91</v>
      </c>
      <c r="AT49" s="480">
        <v>4.01</v>
      </c>
    </row>
    <row r="50" spans="1:55" ht="15" customHeight="1" thickBot="1">
      <c r="A50" s="111">
        <f t="shared" si="19"/>
        <v>1972</v>
      </c>
      <c r="B50" s="111">
        <v>44</v>
      </c>
      <c r="C50" s="445">
        <v>0</v>
      </c>
      <c r="D50" s="452">
        <v>-50000</v>
      </c>
      <c r="E50" s="498">
        <f t="shared" si="27"/>
        <v>0.1898</v>
      </c>
      <c r="F50" s="107">
        <f t="shared" si="5"/>
        <v>-17050324.677103814</v>
      </c>
      <c r="G50" s="107">
        <f t="shared" si="28"/>
        <v>-14221058.235444175</v>
      </c>
      <c r="H50" s="527">
        <f t="shared" si="29"/>
        <v>0.12</v>
      </c>
      <c r="I50" s="120">
        <f t="shared" si="20"/>
        <v>845138.5177076637</v>
      </c>
      <c r="J50" s="448">
        <f ca="1">-OFFSET(FFIUL!Q46:Q110,J$6-1,0,1,1)</f>
        <v>-3243</v>
      </c>
      <c r="K50" s="501">
        <f t="shared" ca="1" si="6"/>
        <v>-34318.673439089718</v>
      </c>
      <c r="L50" s="135">
        <f t="shared" si="31"/>
        <v>-1123228.691464517</v>
      </c>
      <c r="M50" s="112">
        <f t="shared" si="32"/>
        <v>-384954.52349844447</v>
      </c>
      <c r="N50" s="112">
        <f t="shared" si="33"/>
        <v>2398306.2231461895</v>
      </c>
      <c r="O50" s="112">
        <f t="shared" si="34"/>
        <v>10280690.788745549</v>
      </c>
      <c r="P50" s="499">
        <f t="shared" ca="1" si="11"/>
        <v>4201710.5587705811</v>
      </c>
      <c r="Q50" s="112">
        <f t="shared" ca="1" si="12"/>
        <v>405225.04362261738</v>
      </c>
      <c r="R50" s="122"/>
      <c r="S50" s="659">
        <v>44</v>
      </c>
      <c r="T50" s="670">
        <f t="shared" si="35"/>
        <v>6352305.4137205081</v>
      </c>
      <c r="U50" s="496">
        <f t="shared" si="36"/>
        <v>359564.45738040609</v>
      </c>
      <c r="V50" s="671">
        <f t="shared" si="37"/>
        <v>359564.45738040656</v>
      </c>
      <c r="W50" s="662">
        <f t="shared" si="16"/>
        <v>359564.45738040656</v>
      </c>
      <c r="X50" s="669">
        <f t="shared" ca="1" si="17"/>
        <v>0</v>
      </c>
      <c r="Y50" s="669">
        <f t="shared" si="18"/>
        <v>0</v>
      </c>
      <c r="AA50" s="293">
        <v>1971</v>
      </c>
      <c r="AB50" s="281">
        <f>(AK50/AK39)^(1/10)-1</f>
        <v>9.5244893117266916E-2</v>
      </c>
      <c r="AC50" s="281">
        <f t="shared" si="25"/>
        <v>0.11684631305055038</v>
      </c>
      <c r="AD50" s="281">
        <f t="shared" si="39"/>
        <v>7.2966372267540214E-2</v>
      </c>
      <c r="AE50" s="282">
        <f t="shared" si="26"/>
        <v>7.5698262445292208E-2</v>
      </c>
      <c r="AF50" s="281"/>
      <c r="AG50" s="250">
        <v>1971</v>
      </c>
      <c r="AH50" s="251">
        <v>0.14219999999999999</v>
      </c>
      <c r="AI50" s="252">
        <v>4.5400000000000003E-2</v>
      </c>
      <c r="AJ50" s="253">
        <v>9.7900000000000001E-2</v>
      </c>
      <c r="AK50" s="256">
        <f t="shared" si="38"/>
        <v>40.090009673685188</v>
      </c>
      <c r="AL50" s="256">
        <f t="shared" si="38"/>
        <v>2.4537655930397322</v>
      </c>
      <c r="AM50" s="256">
        <f t="shared" si="38"/>
        <v>3.4945390576762598</v>
      </c>
      <c r="AN50" s="282">
        <f t="shared" si="30"/>
        <v>0.12</v>
      </c>
      <c r="AO50" s="279">
        <f t="shared" si="22"/>
        <v>18.64302326464524</v>
      </c>
      <c r="AQ50" s="480">
        <v>1971</v>
      </c>
      <c r="AR50" s="480">
        <v>10.79</v>
      </c>
      <c r="AS50" s="480">
        <v>3.52</v>
      </c>
      <c r="AT50" s="480">
        <v>14.31</v>
      </c>
    </row>
    <row r="51" spans="1:55" ht="15" customHeight="1" thickBot="1">
      <c r="A51" s="116">
        <f t="shared" si="19"/>
        <v>1973</v>
      </c>
      <c r="B51" s="117">
        <v>45</v>
      </c>
      <c r="C51" s="445">
        <v>0</v>
      </c>
      <c r="D51" s="452">
        <v>-50000</v>
      </c>
      <c r="E51" s="500">
        <f t="shared" si="27"/>
        <v>-0.14660000000000001</v>
      </c>
      <c r="F51" s="563">
        <f t="shared" si="5"/>
        <v>-14593417.079440387</v>
      </c>
      <c r="G51" s="563">
        <f t="shared" si="28"/>
        <v>-12037023.966093034</v>
      </c>
      <c r="H51" s="528">
        <f t="shared" si="29"/>
        <v>0</v>
      </c>
      <c r="I51" s="113">
        <f t="shared" si="20"/>
        <v>795138.5177076637</v>
      </c>
      <c r="J51" s="448">
        <f ca="1">-OFFSET(FFIUL!Q47:Q111,J$6-1,0,1,1)</f>
        <v>-3841</v>
      </c>
      <c r="K51" s="115">
        <f t="shared" ca="1" si="6"/>
        <v>-88159.673439089718</v>
      </c>
      <c r="L51" s="136">
        <f t="shared" si="31"/>
        <v>-1199039.722676737</v>
      </c>
      <c r="M51" s="115">
        <f t="shared" si="32"/>
        <v>-452352.70443838247</v>
      </c>
      <c r="N51" s="115">
        <f t="shared" si="33"/>
        <v>2489204.5965349623</v>
      </c>
      <c r="O51" s="115">
        <f t="shared" si="34"/>
        <v>11049146.051845191</v>
      </c>
      <c r="P51" s="115">
        <f t="shared" ca="1" si="11"/>
        <v>4435517.6276679626</v>
      </c>
      <c r="Q51" s="114">
        <f t="shared" ca="1" si="12"/>
        <v>369900.21265196294</v>
      </c>
      <c r="R51" s="122"/>
      <c r="S51" s="660">
        <v>45</v>
      </c>
      <c r="T51" s="670">
        <f t="shared" si="35"/>
        <v>6765243.7385437386</v>
      </c>
      <c r="U51" s="496">
        <f t="shared" si="36"/>
        <v>382938.32482323045</v>
      </c>
      <c r="V51" s="671">
        <f t="shared" si="37"/>
        <v>-382938.3248232305</v>
      </c>
      <c r="W51" s="662">
        <f t="shared" si="16"/>
        <v>-382938.3248232305</v>
      </c>
      <c r="X51" s="669">
        <f t="shared" ca="1" si="17"/>
        <v>0</v>
      </c>
      <c r="Y51" s="669">
        <f t="shared" si="18"/>
        <v>0</v>
      </c>
      <c r="AA51" s="293">
        <v>1972</v>
      </c>
      <c r="AB51" s="281">
        <f>(AK51/AK41)^(1/10)-1</f>
        <v>9.8313808979845874E-2</v>
      </c>
      <c r="AC51" s="281">
        <f t="shared" si="25"/>
        <v>0.11713391824768449</v>
      </c>
      <c r="AD51" s="281">
        <f t="shared" si="39"/>
        <v>8.5195322762377623E-2</v>
      </c>
      <c r="AE51" s="282">
        <f t="shared" si="26"/>
        <v>7.5698262445292208E-2</v>
      </c>
      <c r="AF51" s="281"/>
      <c r="AG51" s="250">
        <v>1972</v>
      </c>
      <c r="AH51" s="251">
        <v>0.18759999999999999</v>
      </c>
      <c r="AI51" s="252">
        <v>3.95E-2</v>
      </c>
      <c r="AJ51" s="253">
        <v>2.8199999999999999E-2</v>
      </c>
      <c r="AK51" s="256">
        <f t="shared" si="38"/>
        <v>47.610895488468529</v>
      </c>
      <c r="AL51" s="256">
        <f t="shared" si="38"/>
        <v>2.5506893339648018</v>
      </c>
      <c r="AM51" s="256">
        <f t="shared" si="38"/>
        <v>3.5930850591027306</v>
      </c>
      <c r="AN51" s="282">
        <f t="shared" si="30"/>
        <v>0.12</v>
      </c>
      <c r="AO51" s="279">
        <f t="shared" si="22"/>
        <v>20.880186056402671</v>
      </c>
      <c r="AQ51" s="480">
        <v>1972</v>
      </c>
      <c r="AR51" s="480">
        <v>15.63</v>
      </c>
      <c r="AS51" s="480">
        <v>3.35</v>
      </c>
      <c r="AT51" s="480">
        <v>18.98</v>
      </c>
    </row>
    <row r="52" spans="1:55" ht="15" customHeight="1">
      <c r="A52" s="109">
        <f t="shared" si="19"/>
        <v>1974</v>
      </c>
      <c r="B52" s="109">
        <v>46</v>
      </c>
      <c r="C52" s="445">
        <v>0</v>
      </c>
      <c r="D52" s="452">
        <v>-50000</v>
      </c>
      <c r="E52" s="108">
        <f t="shared" si="27"/>
        <v>-0.26469999999999999</v>
      </c>
      <c r="F52" s="107">
        <f t="shared" si="5"/>
        <v>-10767304.578512523</v>
      </c>
      <c r="G52" s="107">
        <f t="shared" si="28"/>
        <v>-8745868.3662657645</v>
      </c>
      <c r="H52" s="529">
        <f t="shared" si="29"/>
        <v>0</v>
      </c>
      <c r="I52" s="118">
        <f t="shared" si="20"/>
        <v>745138.5177076637</v>
      </c>
      <c r="J52" s="448">
        <f ca="1">-OFFSET(FFIUL!Q48:Q112,J$6-1,0,1,1)</f>
        <v>-4549</v>
      </c>
      <c r="K52" s="458">
        <f t="shared" ca="1" si="6"/>
        <v>-142708.67343908973</v>
      </c>
      <c r="L52" s="133">
        <f t="shared" si="31"/>
        <v>-1276518.5965756257</v>
      </c>
      <c r="M52" s="107">
        <f t="shared" si="32"/>
        <v>-522446.812615918</v>
      </c>
      <c r="N52" s="107">
        <f t="shared" si="33"/>
        <v>2585556.8723270618</v>
      </c>
      <c r="O52" s="107">
        <f t="shared" si="34"/>
        <v>11879077.735992804</v>
      </c>
      <c r="P52" s="107">
        <f t="shared" ca="1" si="11"/>
        <v>4684797.5665040985</v>
      </c>
      <c r="Q52" s="107">
        <f t="shared" ca="1" si="12"/>
        <v>331995.35579413618</v>
      </c>
      <c r="R52" s="122"/>
      <c r="S52" s="658">
        <v>46</v>
      </c>
      <c r="T52" s="670">
        <f t="shared" si="35"/>
        <v>7202958.3628563629</v>
      </c>
      <c r="U52" s="496">
        <f t="shared" si="36"/>
        <v>407714.62431262428</v>
      </c>
      <c r="V52" s="671">
        <f t="shared" si="37"/>
        <v>-407714.62431262434</v>
      </c>
      <c r="W52" s="662">
        <f t="shared" si="16"/>
        <v>-407714.62431262434</v>
      </c>
      <c r="X52" s="669">
        <f t="shared" ca="1" si="17"/>
        <v>0</v>
      </c>
      <c r="Y52" s="669">
        <f t="shared" si="18"/>
        <v>0</v>
      </c>
      <c r="AA52" s="293">
        <v>1973</v>
      </c>
      <c r="AB52" s="281">
        <f>(AK52/AK41)^(1/10)-1</f>
        <v>8.1482405263487712E-2</v>
      </c>
      <c r="AC52" s="281">
        <f t="shared" si="25"/>
        <v>0.10921592436969951</v>
      </c>
      <c r="AD52" s="281">
        <f t="shared" si="39"/>
        <v>7.2966372267540214E-2</v>
      </c>
      <c r="AE52" s="282">
        <f t="shared" si="26"/>
        <v>7.5698262445292208E-2</v>
      </c>
      <c r="AF52" s="281"/>
      <c r="AG52" s="250">
        <v>1973</v>
      </c>
      <c r="AH52" s="251">
        <v>-0.1431</v>
      </c>
      <c r="AI52" s="252">
        <v>6.7299999999999999E-2</v>
      </c>
      <c r="AJ52" s="253">
        <v>3.6600000000000001E-2</v>
      </c>
      <c r="AK52" s="256">
        <f t="shared" si="38"/>
        <v>40.79777634406868</v>
      </c>
      <c r="AL52" s="256">
        <f t="shared" si="38"/>
        <v>2.7223507261406326</v>
      </c>
      <c r="AM52" s="256">
        <f t="shared" si="38"/>
        <v>3.7245919722658902</v>
      </c>
      <c r="AN52" s="282">
        <f t="shared" si="30"/>
        <v>0</v>
      </c>
      <c r="AO52" s="279">
        <f t="shared" si="22"/>
        <v>20.880186056402671</v>
      </c>
      <c r="AQ52" s="480">
        <v>1973</v>
      </c>
      <c r="AR52" s="480">
        <v>-17.37</v>
      </c>
      <c r="AS52" s="480">
        <v>2.71</v>
      </c>
      <c r="AT52" s="480">
        <v>-14.66</v>
      </c>
    </row>
    <row r="53" spans="1:55" ht="15" customHeight="1">
      <c r="A53" s="105">
        <f t="shared" si="19"/>
        <v>1975</v>
      </c>
      <c r="B53" s="105">
        <v>47</v>
      </c>
      <c r="C53" s="445">
        <v>0</v>
      </c>
      <c r="D53" s="452">
        <v>-50000</v>
      </c>
      <c r="E53" s="446">
        <f t="shared" si="27"/>
        <v>0.37200000000000005</v>
      </c>
      <c r="F53" s="107">
        <f t="shared" si="5"/>
        <v>-14841341.881719185</v>
      </c>
      <c r="G53" s="107">
        <f t="shared" si="28"/>
        <v>-11895136.564461332</v>
      </c>
      <c r="H53" s="526">
        <f t="shared" si="29"/>
        <v>0.12</v>
      </c>
      <c r="I53" s="119">
        <f t="shared" si="20"/>
        <v>778555.1398325843</v>
      </c>
      <c r="J53" s="448">
        <f ca="1">-OFFSET(FFIUL!Q49:Q113,J$6-1,0,1,1)</f>
        <v>-5383</v>
      </c>
      <c r="K53" s="447">
        <f t="shared" ca="1" si="6"/>
        <v>-221862.67425178079</v>
      </c>
      <c r="L53" s="134">
        <f t="shared" si="31"/>
        <v>-1355702.0057002902</v>
      </c>
      <c r="M53" s="106">
        <f t="shared" si="32"/>
        <v>-595344.68512055499</v>
      </c>
      <c r="N53" s="106">
        <f t="shared" si="33"/>
        <v>2687690.2846666873</v>
      </c>
      <c r="O53" s="106">
        <f t="shared" si="34"/>
        <v>12775403.954872226</v>
      </c>
      <c r="P53" s="107">
        <f t="shared" ca="1" si="11"/>
        <v>4950492.2505874587</v>
      </c>
      <c r="Q53" s="106">
        <f t="shared" ca="1" si="12"/>
        <v>291245.65224588703</v>
      </c>
      <c r="R53" s="122"/>
      <c r="S53" s="657">
        <v>47</v>
      </c>
      <c r="T53" s="670">
        <f t="shared" si="35"/>
        <v>7666935.864627745</v>
      </c>
      <c r="U53" s="496">
        <f t="shared" si="36"/>
        <v>433977.50177138177</v>
      </c>
      <c r="V53" s="671">
        <f t="shared" si="37"/>
        <v>433977.50177138206</v>
      </c>
      <c r="W53" s="662">
        <f t="shared" si="16"/>
        <v>433977.50177138206</v>
      </c>
      <c r="X53" s="669">
        <f t="shared" ca="1" si="17"/>
        <v>0</v>
      </c>
      <c r="Y53" s="669">
        <f t="shared" si="18"/>
        <v>0</v>
      </c>
      <c r="AA53" s="293">
        <v>1974</v>
      </c>
      <c r="AB53" s="281">
        <f>(AK53/AK43)^(1/10)-1</f>
        <v>1.2851860803733794E-2</v>
      </c>
      <c r="AC53" s="281">
        <f t="shared" si="25"/>
        <v>6.9879761610622593E-2</v>
      </c>
      <c r="AD53" s="281">
        <f t="shared" si="39"/>
        <v>6.0875228513174617E-2</v>
      </c>
      <c r="AE53" s="282">
        <f t="shared" si="26"/>
        <v>6.9620125895702101E-2</v>
      </c>
      <c r="AF53" s="281"/>
      <c r="AG53" s="250">
        <v>1974</v>
      </c>
      <c r="AH53" s="251">
        <v>-0.25900000000000001</v>
      </c>
      <c r="AI53" s="252">
        <v>7.7799999999999994E-2</v>
      </c>
      <c r="AJ53" s="253">
        <v>1.9900000000000001E-2</v>
      </c>
      <c r="AK53" s="256">
        <f t="shared" si="38"/>
        <v>30.23115227095489</v>
      </c>
      <c r="AL53" s="256">
        <f t="shared" si="38"/>
        <v>2.934149612634374</v>
      </c>
      <c r="AM53" s="256">
        <f t="shared" si="38"/>
        <v>3.7987113525139815</v>
      </c>
      <c r="AN53" s="282">
        <f t="shared" si="30"/>
        <v>0</v>
      </c>
      <c r="AO53" s="279">
        <f t="shared" si="22"/>
        <v>20.880186056402671</v>
      </c>
      <c r="AQ53" s="480">
        <v>1974</v>
      </c>
      <c r="AR53" s="480">
        <v>-29.72</v>
      </c>
      <c r="AS53" s="480">
        <v>3.25</v>
      </c>
      <c r="AT53" s="480">
        <v>-26.47</v>
      </c>
    </row>
    <row r="54" spans="1:55" ht="15" customHeight="1">
      <c r="A54" s="105">
        <f t="shared" si="19"/>
        <v>1976</v>
      </c>
      <c r="B54" s="105">
        <v>48</v>
      </c>
      <c r="C54" s="445">
        <v>0</v>
      </c>
      <c r="D54" s="452">
        <v>-50000</v>
      </c>
      <c r="E54" s="446">
        <f t="shared" si="27"/>
        <v>0.2384</v>
      </c>
      <c r="F54" s="107">
        <f t="shared" si="5"/>
        <v>-18441437.786321029</v>
      </c>
      <c r="G54" s="107">
        <f t="shared" si="28"/>
        <v>-14596037.106256293</v>
      </c>
      <c r="H54" s="526">
        <f t="shared" si="29"/>
        <v>0.12</v>
      </c>
      <c r="I54" s="119">
        <f t="shared" si="20"/>
        <v>815981.75661249552</v>
      </c>
      <c r="J54" s="448">
        <f ca="1">-OFFSET(FFIUL!Q50:Q114,J$6-1,0,1,1)</f>
        <v>-6353</v>
      </c>
      <c r="K54" s="447">
        <f t="shared" ca="1" si="6"/>
        <v>-311601.55516199488</v>
      </c>
      <c r="L54" s="134">
        <f t="shared" si="31"/>
        <v>-1436627.4498256973</v>
      </c>
      <c r="M54" s="106">
        <f t="shared" si="32"/>
        <v>-671158.47252537753</v>
      </c>
      <c r="N54" s="106">
        <f t="shared" si="33"/>
        <v>2795951.7017466906</v>
      </c>
      <c r="O54" s="106">
        <f t="shared" si="34"/>
        <v>13743436.271262003</v>
      </c>
      <c r="P54" s="107">
        <f t="shared" ca="1" si="11"/>
        <v>5233598.4730839357</v>
      </c>
      <c r="Q54" s="106">
        <f t="shared" ca="1" si="12"/>
        <v>247362.1149078687</v>
      </c>
      <c r="R54" s="122"/>
      <c r="S54" s="657">
        <v>48</v>
      </c>
      <c r="T54" s="670">
        <f t="shared" si="35"/>
        <v>8158752.01650541</v>
      </c>
      <c r="U54" s="496">
        <f t="shared" si="36"/>
        <v>461816.15187766467</v>
      </c>
      <c r="V54" s="671">
        <f t="shared" si="37"/>
        <v>461816.15187766496</v>
      </c>
      <c r="W54" s="662">
        <f t="shared" si="16"/>
        <v>461816.15187766496</v>
      </c>
      <c r="X54" s="669">
        <f t="shared" ca="1" si="17"/>
        <v>0</v>
      </c>
      <c r="Y54" s="669">
        <f t="shared" si="18"/>
        <v>0</v>
      </c>
      <c r="AA54" s="293">
        <v>1975</v>
      </c>
      <c r="AB54" s="281">
        <f>(AK54/AK43)^(1/10)-1</f>
        <v>4.5244731118360138E-2</v>
      </c>
      <c r="AC54" s="281">
        <f t="shared" si="25"/>
        <v>7.1627437113870984E-2</v>
      </c>
      <c r="AD54" s="281">
        <f t="shared" si="39"/>
        <v>6.0875228513174617E-2</v>
      </c>
      <c r="AE54" s="282">
        <f t="shared" si="26"/>
        <v>6.9620125895702101E-2</v>
      </c>
      <c r="AF54" s="281"/>
      <c r="AG54" s="250">
        <v>1975</v>
      </c>
      <c r="AH54" s="251">
        <v>0.37</v>
      </c>
      <c r="AI54" s="252">
        <v>5.9900000000000002E-2</v>
      </c>
      <c r="AJ54" s="253">
        <v>3.61E-2</v>
      </c>
      <c r="AK54" s="256">
        <f t="shared" si="38"/>
        <v>41.416678611208205</v>
      </c>
      <c r="AL54" s="256">
        <f t="shared" si="38"/>
        <v>3.1099051744311734</v>
      </c>
      <c r="AM54" s="256">
        <f t="shared" si="38"/>
        <v>3.9358448323397361</v>
      </c>
      <c r="AN54" s="282">
        <f t="shared" si="30"/>
        <v>0.12</v>
      </c>
      <c r="AO54" s="279">
        <f t="shared" si="22"/>
        <v>23.385808383170993</v>
      </c>
      <c r="AQ54" s="480">
        <v>1975</v>
      </c>
      <c r="AR54" s="480">
        <v>31.55</v>
      </c>
      <c r="AS54" s="480">
        <v>5.65</v>
      </c>
      <c r="AT54" s="480">
        <v>37.200000000000003</v>
      </c>
    </row>
    <row r="55" spans="1:55" ht="15" customHeight="1">
      <c r="A55" s="105">
        <f t="shared" si="19"/>
        <v>1977</v>
      </c>
      <c r="B55" s="105">
        <v>49</v>
      </c>
      <c r="C55" s="445">
        <v>0</v>
      </c>
      <c r="D55" s="452">
        <v>-50000</v>
      </c>
      <c r="E55" s="446">
        <f t="shared" si="27"/>
        <v>-7.1800000000000003E-2</v>
      </c>
      <c r="F55" s="107">
        <f t="shared" si="5"/>
        <v>-17163752.553263173</v>
      </c>
      <c r="G55" s="107">
        <f t="shared" si="28"/>
        <v>-13371011.699934045</v>
      </c>
      <c r="H55" s="526">
        <f t="shared" si="29"/>
        <v>0</v>
      </c>
      <c r="I55" s="119">
        <f t="shared" si="20"/>
        <v>765981.75661249552</v>
      </c>
      <c r="J55" s="448">
        <f ca="1">-OFFSET(FFIUL!Q51:Q115,J$6-1,0,1,1)</f>
        <v>-7515</v>
      </c>
      <c r="K55" s="447">
        <f t="shared" ca="1" si="6"/>
        <v>-369116.55516199488</v>
      </c>
      <c r="L55" s="134">
        <f t="shared" si="31"/>
        <v>-1519333.2537218633</v>
      </c>
      <c r="M55" s="106">
        <f t="shared" si="32"/>
        <v>-750004.81142639299</v>
      </c>
      <c r="N55" s="106">
        <f t="shared" si="33"/>
        <v>2910708.8038514941</v>
      </c>
      <c r="O55" s="106">
        <f t="shared" si="34"/>
        <v>14788911.172962962</v>
      </c>
      <c r="P55" s="107">
        <f t="shared" ca="1" si="11"/>
        <v>5535124.0423418134</v>
      </c>
      <c r="Q55" s="106">
        <f t="shared" ca="1" si="12"/>
        <v>199983.02717037936</v>
      </c>
      <c r="R55" s="122"/>
      <c r="S55" s="657">
        <v>49</v>
      </c>
      <c r="T55" s="670">
        <f t="shared" si="35"/>
        <v>8680077.1374957357</v>
      </c>
      <c r="U55" s="496">
        <f t="shared" si="36"/>
        <v>491325.12099032459</v>
      </c>
      <c r="V55" s="671">
        <f t="shared" si="37"/>
        <v>-491325.1209903257</v>
      </c>
      <c r="W55" s="662">
        <f t="shared" si="16"/>
        <v>-491325.1209903257</v>
      </c>
      <c r="X55" s="669">
        <f t="shared" ca="1" si="17"/>
        <v>0</v>
      </c>
      <c r="Y55" s="669">
        <f t="shared" si="18"/>
        <v>0</v>
      </c>
      <c r="AA55" s="293">
        <v>1976</v>
      </c>
      <c r="AB55" s="281">
        <f>(AK55/AK45)^(1/10)-1</f>
        <v>6.6559818772312429E-2</v>
      </c>
      <c r="AC55" s="281">
        <f t="shared" si="25"/>
        <v>7.9261830840061442E-2</v>
      </c>
      <c r="AD55" s="281">
        <f t="shared" si="39"/>
        <v>7.2966372267540214E-2</v>
      </c>
      <c r="AE55" s="282">
        <f t="shared" si="26"/>
        <v>7.1845446126342249E-2</v>
      </c>
      <c r="AF55" s="281"/>
      <c r="AG55" s="250">
        <v>1976</v>
      </c>
      <c r="AH55" s="251">
        <v>0.23830000000000001</v>
      </c>
      <c r="AI55" s="252">
        <v>4.9700000000000001E-2</v>
      </c>
      <c r="AJ55" s="253">
        <v>0.1598</v>
      </c>
      <c r="AK55" s="256">
        <f t="shared" si="38"/>
        <v>51.286273124259118</v>
      </c>
      <c r="AL55" s="256">
        <f t="shared" si="38"/>
        <v>3.264467461600403</v>
      </c>
      <c r="AM55" s="256">
        <f t="shared" si="38"/>
        <v>4.5647928365476256</v>
      </c>
      <c r="AN55" s="282">
        <f t="shared" si="30"/>
        <v>0.12</v>
      </c>
      <c r="AO55" s="279">
        <f t="shared" si="22"/>
        <v>26.192105389151514</v>
      </c>
      <c r="AQ55" s="480">
        <v>1976</v>
      </c>
      <c r="AR55" s="480">
        <v>19.149999999999999</v>
      </c>
      <c r="AS55" s="480">
        <v>4.6900000000000004</v>
      </c>
      <c r="AT55" s="480">
        <v>23.84</v>
      </c>
    </row>
    <row r="56" spans="1:55" ht="15" customHeight="1" thickBot="1">
      <c r="A56" s="111">
        <f t="shared" si="19"/>
        <v>1978</v>
      </c>
      <c r="B56" s="111">
        <v>50</v>
      </c>
      <c r="C56" s="445">
        <v>0</v>
      </c>
      <c r="D56" s="452">
        <v>-50000</v>
      </c>
      <c r="E56" s="498">
        <f t="shared" si="27"/>
        <v>6.5599999999999992E-2</v>
      </c>
      <c r="F56" s="499">
        <f t="shared" si="5"/>
        <v>-18342974.720757246</v>
      </c>
      <c r="G56" s="499">
        <f t="shared" si="28"/>
        <v>-14044417.693395978</v>
      </c>
      <c r="H56" s="527">
        <f t="shared" si="29"/>
        <v>1.06E-2</v>
      </c>
      <c r="I56" s="120">
        <f t="shared" si="20"/>
        <v>723571.16323258728</v>
      </c>
      <c r="J56" s="565">
        <f ca="1">-OFFSET(FFIUL!Q52:Q116,J$6-1,0,1,1)</f>
        <v>-8925</v>
      </c>
      <c r="K56" s="501">
        <f t="shared" ca="1" si="6"/>
        <v>-432578.7956467116</v>
      </c>
      <c r="L56" s="135">
        <f t="shared" si="31"/>
        <v>-1603858.585303745</v>
      </c>
      <c r="M56" s="112">
        <f t="shared" si="32"/>
        <v>-832005.00388344913</v>
      </c>
      <c r="N56" s="112">
        <f t="shared" si="33"/>
        <v>3032351.3320825859</v>
      </c>
      <c r="O56" s="112">
        <f t="shared" si="34"/>
        <v>15918024.066799996</v>
      </c>
      <c r="P56" s="499">
        <f t="shared" ca="1" si="11"/>
        <v>5856088.5454489188</v>
      </c>
      <c r="Q56" s="106">
        <f t="shared" ca="1" si="12"/>
        <v>148670.12971518456</v>
      </c>
      <c r="R56" s="122"/>
      <c r="S56" s="661">
        <v>50</v>
      </c>
      <c r="T56" s="672">
        <f t="shared" si="35"/>
        <v>9232681.7657454796</v>
      </c>
      <c r="U56" s="496">
        <f t="shared" si="36"/>
        <v>522604.62824974413</v>
      </c>
      <c r="V56" s="673">
        <f t="shared" si="37"/>
        <v>-430277.81059229001</v>
      </c>
      <c r="W56" s="662">
        <f t="shared" si="16"/>
        <v>-430277.81059229001</v>
      </c>
      <c r="X56" s="669">
        <f t="shared" ca="1" si="17"/>
        <v>0</v>
      </c>
      <c r="Y56" s="669">
        <f t="shared" si="18"/>
        <v>0</v>
      </c>
      <c r="AA56" s="293">
        <v>1977</v>
      </c>
      <c r="AB56" s="281">
        <f>(AK56/AK45)^(1/10)-1</f>
        <v>5.8870506388086996E-2</v>
      </c>
      <c r="AC56" s="281">
        <f t="shared" si="25"/>
        <v>8.132135595863188E-2</v>
      </c>
      <c r="AD56" s="281">
        <f t="shared" si="39"/>
        <v>6.0875228513174617E-2</v>
      </c>
      <c r="AE56" s="282">
        <f t="shared" si="26"/>
        <v>7.1845446126342249E-2</v>
      </c>
      <c r="AF56" s="281"/>
      <c r="AG56" s="250">
        <v>1977</v>
      </c>
      <c r="AH56" s="251">
        <v>-6.9800000000000001E-2</v>
      </c>
      <c r="AI56" s="252">
        <v>5.1299999999999998E-2</v>
      </c>
      <c r="AJ56" s="253">
        <v>1.29E-2</v>
      </c>
      <c r="AK56" s="256">
        <f t="shared" si="38"/>
        <v>47.706491260185835</v>
      </c>
      <c r="AL56" s="256">
        <f t="shared" si="38"/>
        <v>3.4319346423805035</v>
      </c>
      <c r="AM56" s="256">
        <f t="shared" si="38"/>
        <v>4.6236786641390895</v>
      </c>
      <c r="AN56" s="282">
        <f t="shared" si="30"/>
        <v>0</v>
      </c>
      <c r="AO56" s="279">
        <f t="shared" si="22"/>
        <v>26.192105389151514</v>
      </c>
      <c r="AQ56" s="480">
        <v>1977</v>
      </c>
      <c r="AR56" s="480">
        <v>-11.5</v>
      </c>
      <c r="AS56" s="480">
        <v>4.32</v>
      </c>
      <c r="AT56" s="480">
        <v>-7.18</v>
      </c>
    </row>
    <row r="57" spans="1:55" s="98" customFormat="1" ht="15" customHeight="1" thickBot="1">
      <c r="A57" s="566"/>
      <c r="B57" s="567" t="s">
        <v>3</v>
      </c>
      <c r="C57" s="567">
        <f>SUM(C7:C56)*12</f>
        <v>0</v>
      </c>
      <c r="D57" s="568"/>
      <c r="E57" s="567"/>
      <c r="F57" s="567"/>
      <c r="G57" s="569"/>
      <c r="H57" s="567"/>
      <c r="I57" s="567"/>
      <c r="J57" s="567"/>
      <c r="K57" s="570"/>
      <c r="L57" s="571">
        <f t="shared" ref="L57:Q57" si="40">L5</f>
        <v>2.1999999999999999E-2</v>
      </c>
      <c r="M57" s="571">
        <f t="shared" si="40"/>
        <v>0.04</v>
      </c>
      <c r="N57" s="571">
        <f t="shared" si="40"/>
        <v>0.06</v>
      </c>
      <c r="O57" s="571">
        <f t="shared" si="40"/>
        <v>0.08</v>
      </c>
      <c r="P57" s="572">
        <f t="shared" si="40"/>
        <v>7.6999999999999999E-2</v>
      </c>
      <c r="Q57" s="110">
        <f t="shared" si="40"/>
        <v>0.06</v>
      </c>
      <c r="R57" s="123"/>
      <c r="S57" s="656" t="s">
        <v>3</v>
      </c>
      <c r="T57" s="663"/>
      <c r="U57" s="664"/>
      <c r="V57" s="665"/>
      <c r="W57" s="666"/>
      <c r="X57" s="667"/>
      <c r="Y57" s="668"/>
      <c r="Z57" s="246"/>
      <c r="AA57" s="294">
        <v>1978</v>
      </c>
      <c r="AB57" s="281">
        <f>(AK57/AK47)^(1/10)-1</f>
        <v>3.2409352721400886E-2</v>
      </c>
      <c r="AC57" s="281">
        <f t="shared" si="25"/>
        <v>6.5242387110733269E-2</v>
      </c>
      <c r="AD57" s="281">
        <f t="shared" si="39"/>
        <v>5.6684779079659631E-2</v>
      </c>
      <c r="AE57" s="282">
        <f t="shared" si="26"/>
        <v>6.9155280458838009E-2</v>
      </c>
      <c r="AF57" s="281"/>
      <c r="AG57" s="250">
        <v>1978</v>
      </c>
      <c r="AH57" s="251">
        <v>6.5100000000000005E-2</v>
      </c>
      <c r="AI57" s="252">
        <v>6.93E-2</v>
      </c>
      <c r="AJ57" s="253">
        <v>-7.7999999999999996E-3</v>
      </c>
      <c r="AK57" s="256">
        <f t="shared" ref="AK57:AM72" si="41">AK56*(1+AH57)</f>
        <v>50.812183841223927</v>
      </c>
      <c r="AL57" s="256">
        <f t="shared" si="41"/>
        <v>3.669767713097472</v>
      </c>
      <c r="AM57" s="256">
        <f t="shared" si="41"/>
        <v>4.5876139705588042</v>
      </c>
      <c r="AN57" s="282">
        <f t="shared" si="30"/>
        <v>6.5100000000000005E-2</v>
      </c>
      <c r="AO57" s="279">
        <f t="shared" si="22"/>
        <v>27.897211449985278</v>
      </c>
      <c r="AP57" s="246"/>
      <c r="AQ57" s="480">
        <v>1978</v>
      </c>
      <c r="AR57" s="480">
        <v>1.06</v>
      </c>
      <c r="AS57" s="480">
        <v>5.5</v>
      </c>
      <c r="AT57" s="480">
        <v>6.56</v>
      </c>
      <c r="AU57" s="246"/>
      <c r="AV57" s="246"/>
      <c r="AW57" s="246"/>
      <c r="AX57" s="246"/>
      <c r="AY57" s="246"/>
      <c r="AZ57" s="246"/>
      <c r="BA57" s="246"/>
      <c r="BB57" s="246"/>
      <c r="BC57" s="246"/>
    </row>
    <row r="58" spans="1:55" ht="15" customHeight="1">
      <c r="A58" s="455"/>
      <c r="B58" s="455"/>
      <c r="C58" s="455"/>
      <c r="D58" s="456"/>
      <c r="E58" s="455"/>
      <c r="F58" s="455"/>
      <c r="G58" s="490"/>
      <c r="H58" s="455"/>
      <c r="I58" s="455"/>
      <c r="J58" s="455"/>
      <c r="K58" s="455"/>
      <c r="L58" s="457"/>
      <c r="M58" s="457"/>
      <c r="N58" s="457"/>
      <c r="O58" s="457"/>
      <c r="P58" s="457"/>
      <c r="Q58" s="457"/>
      <c r="S58" s="123"/>
      <c r="AA58" s="293">
        <v>1979</v>
      </c>
      <c r="AB58" s="281">
        <f>(AK58/AK47)^(1/10)-1</f>
        <v>5.0101054265667688E-2</v>
      </c>
      <c r="AC58" s="281">
        <f t="shared" si="25"/>
        <v>6.8231770772168243E-2</v>
      </c>
      <c r="AD58" s="281">
        <f t="shared" si="39"/>
        <v>6.8728162904172718E-2</v>
      </c>
      <c r="AE58" s="282">
        <f t="shared" si="26"/>
        <v>6.9155280458838009E-2</v>
      </c>
      <c r="AF58" s="281"/>
      <c r="AG58" s="250">
        <v>1979</v>
      </c>
      <c r="AH58" s="251">
        <v>0.1852</v>
      </c>
      <c r="AI58" s="252">
        <v>9.9400000000000002E-2</v>
      </c>
      <c r="AJ58" s="253">
        <v>6.7000000000000002E-3</v>
      </c>
      <c r="AK58" s="256">
        <f t="shared" si="41"/>
        <v>60.222600288618601</v>
      </c>
      <c r="AL58" s="256">
        <f t="shared" si="41"/>
        <v>4.0345426237793607</v>
      </c>
      <c r="AM58" s="256">
        <f t="shared" si="41"/>
        <v>4.6183509841615482</v>
      </c>
      <c r="AN58" s="282">
        <f t="shared" si="30"/>
        <v>0.12</v>
      </c>
      <c r="AO58" s="279">
        <f t="shared" si="22"/>
        <v>31.244876823983514</v>
      </c>
      <c r="AQ58" s="480">
        <v>1979</v>
      </c>
      <c r="AR58" s="480">
        <v>12.31</v>
      </c>
      <c r="AS58" s="480">
        <v>6.13</v>
      </c>
      <c r="AT58" s="480">
        <v>18.440000000000001</v>
      </c>
    </row>
    <row r="59" spans="1:55" ht="15" customHeight="1">
      <c r="A59" s="455"/>
      <c r="B59" s="455"/>
      <c r="C59" s="455"/>
      <c r="D59" s="456"/>
      <c r="E59" s="455"/>
      <c r="F59" s="455"/>
      <c r="G59" s="490"/>
      <c r="H59" s="455"/>
      <c r="I59" s="455"/>
      <c r="J59" s="455"/>
      <c r="K59" s="455"/>
      <c r="L59" s="457"/>
      <c r="M59" s="457"/>
      <c r="N59" s="457"/>
      <c r="O59" s="457"/>
      <c r="P59" s="457"/>
      <c r="Q59" s="457"/>
      <c r="AA59" s="293">
        <v>1980</v>
      </c>
      <c r="AB59" s="281">
        <f>(AK59/AK49)^(1/10)-1</f>
        <v>8.4971463631239752E-2</v>
      </c>
      <c r="AC59" s="281">
        <f t="shared" ref="AC59:AC90" si="42">(AK59/AK39)^(1/20)-1</f>
        <v>8.2873357068906417E-2</v>
      </c>
      <c r="AD59" s="281">
        <f t="shared" si="39"/>
        <v>7.7134291054385962E-2</v>
      </c>
      <c r="AE59" s="282">
        <f t="shared" ref="AE59:AE90" si="43">(AO59/AO39)^(1/20)-1</f>
        <v>7.504831180630811E-2</v>
      </c>
      <c r="AF59" s="281"/>
      <c r="AG59" s="250">
        <v>1980</v>
      </c>
      <c r="AH59" s="251">
        <v>0.31740000000000002</v>
      </c>
      <c r="AI59" s="252">
        <v>0.11219999999999999</v>
      </c>
      <c r="AJ59" s="253">
        <v>-2.9899999999999999E-2</v>
      </c>
      <c r="AK59" s="256">
        <f t="shared" si="41"/>
        <v>79.33725362022615</v>
      </c>
      <c r="AL59" s="256">
        <f t="shared" si="41"/>
        <v>4.4872183061674056</v>
      </c>
      <c r="AM59" s="256">
        <f t="shared" si="41"/>
        <v>4.4802622897351174</v>
      </c>
      <c r="AN59" s="282">
        <f t="shared" si="30"/>
        <v>0.12</v>
      </c>
      <c r="AO59" s="279">
        <f t="shared" si="22"/>
        <v>34.994262042861536</v>
      </c>
      <c r="AQ59" s="484">
        <v>1980</v>
      </c>
      <c r="AR59" s="484">
        <v>25.77</v>
      </c>
      <c r="AS59" s="484">
        <v>6.65</v>
      </c>
      <c r="AT59" s="484">
        <v>32.42</v>
      </c>
    </row>
    <row r="60" spans="1:55" ht="15" customHeight="1">
      <c r="A60" s="455"/>
      <c r="B60" s="455"/>
      <c r="C60" s="455"/>
      <c r="D60" s="456"/>
      <c r="E60" s="455"/>
      <c r="F60" s="455"/>
      <c r="G60" s="490"/>
      <c r="H60" s="455"/>
      <c r="I60" s="455"/>
      <c r="J60" s="455"/>
      <c r="K60" s="455"/>
      <c r="L60" s="457"/>
      <c r="M60" s="457"/>
      <c r="N60" s="457"/>
      <c r="O60" s="457"/>
      <c r="P60" s="457"/>
      <c r="Q60" s="457"/>
      <c r="AA60" s="293">
        <v>1981</v>
      </c>
      <c r="AB60" s="281">
        <f>(AK60/AK49)^(1/10)-1</f>
        <v>7.9760922217111618E-2</v>
      </c>
      <c r="AC60" s="281">
        <f t="shared" si="42"/>
        <v>6.7588208678791561E-2</v>
      </c>
      <c r="AD60" s="281">
        <f t="shared" si="39"/>
        <v>6.4996179467186943E-2</v>
      </c>
      <c r="AE60" s="282">
        <f t="shared" si="43"/>
        <v>6.8973847744507655E-2</v>
      </c>
      <c r="AF60" s="281"/>
      <c r="AG60" s="250">
        <v>1981</v>
      </c>
      <c r="AH60" s="251">
        <v>-4.7E-2</v>
      </c>
      <c r="AI60" s="252">
        <v>0.14299999999999999</v>
      </c>
      <c r="AJ60" s="253">
        <v>8.2000000000000003E-2</v>
      </c>
      <c r="AK60" s="256">
        <f t="shared" si="41"/>
        <v>75.608402700075516</v>
      </c>
      <c r="AL60" s="256">
        <f t="shared" si="41"/>
        <v>5.1288905239493445</v>
      </c>
      <c r="AM60" s="256">
        <f t="shared" si="41"/>
        <v>4.8476437974933972</v>
      </c>
      <c r="AN60" s="282">
        <f t="shared" si="30"/>
        <v>0</v>
      </c>
      <c r="AO60" s="279">
        <f t="shared" si="22"/>
        <v>34.994262042861536</v>
      </c>
      <c r="AQ60" s="480">
        <v>1981</v>
      </c>
      <c r="AR60" s="480">
        <v>-9.73</v>
      </c>
      <c r="AS60" s="480">
        <v>4.82</v>
      </c>
      <c r="AT60" s="480">
        <v>-4.91</v>
      </c>
    </row>
    <row r="61" spans="1:55" ht="15" customHeight="1">
      <c r="A61" s="455"/>
      <c r="B61" s="455"/>
      <c r="C61" s="455"/>
      <c r="D61" s="456"/>
      <c r="E61" s="455"/>
      <c r="F61" s="455"/>
      <c r="G61" s="490"/>
      <c r="H61" s="455"/>
      <c r="I61" s="455"/>
      <c r="J61" s="455"/>
      <c r="K61" s="455"/>
      <c r="L61" s="457"/>
      <c r="M61" s="457"/>
      <c r="N61" s="457"/>
      <c r="O61" s="457"/>
      <c r="P61" s="457"/>
      <c r="Q61" s="457"/>
      <c r="AA61" s="293">
        <v>1982</v>
      </c>
      <c r="AB61" s="281">
        <f>(AK61/AK51)^(1/10)-1</f>
        <v>6.697988882152317E-2</v>
      </c>
      <c r="AC61" s="281">
        <f t="shared" si="42"/>
        <v>8.253348483844114E-2</v>
      </c>
      <c r="AD61" s="281">
        <f t="shared" si="39"/>
        <v>6.4996179467186943E-2</v>
      </c>
      <c r="AE61" s="282">
        <f t="shared" si="43"/>
        <v>7.504831180630811E-2</v>
      </c>
      <c r="AF61" s="281"/>
      <c r="AG61" s="250">
        <v>1982</v>
      </c>
      <c r="AH61" s="251">
        <v>0.20419999999999999</v>
      </c>
      <c r="AI61" s="252">
        <v>0.1101</v>
      </c>
      <c r="AJ61" s="253">
        <v>0.3281</v>
      </c>
      <c r="AK61" s="256">
        <f>AK60*(1+AH61)</f>
        <v>91.047638531430934</v>
      </c>
      <c r="AL61" s="256">
        <f>AL60*(1+AI61)</f>
        <v>5.693581370636168</v>
      </c>
      <c r="AM61" s="256">
        <f>AM60*(1+AJ61)</f>
        <v>6.4381557274509813</v>
      </c>
      <c r="AN61" s="282">
        <f t="shared" si="30"/>
        <v>0.12</v>
      </c>
      <c r="AO61" s="279">
        <f t="shared" si="22"/>
        <v>39.193573488004922</v>
      </c>
      <c r="AQ61" s="480">
        <v>1982</v>
      </c>
      <c r="AR61" s="480">
        <v>14.76</v>
      </c>
      <c r="AS61" s="480">
        <v>6.79</v>
      </c>
      <c r="AT61" s="480">
        <v>21.55</v>
      </c>
    </row>
    <row r="62" spans="1:55" ht="15" customHeight="1">
      <c r="A62" s="455"/>
      <c r="B62" s="455"/>
      <c r="C62" s="455"/>
      <c r="D62" s="456"/>
      <c r="E62" s="455"/>
      <c r="F62" s="455"/>
      <c r="G62" s="490"/>
      <c r="H62" s="455"/>
      <c r="I62" s="455"/>
      <c r="J62" s="455"/>
      <c r="K62" s="455"/>
      <c r="L62" s="457"/>
      <c r="M62" s="457"/>
      <c r="N62" s="457"/>
      <c r="O62" s="457"/>
      <c r="P62" s="457"/>
      <c r="Q62" s="457"/>
      <c r="AA62" s="293">
        <v>1983</v>
      </c>
      <c r="AB62" s="281">
        <f>(AK62/AK51)^(1/10)-1</f>
        <v>8.8712179006532388E-2</v>
      </c>
      <c r="AC62" s="281">
        <f t="shared" si="42"/>
        <v>8.2414167405852945E-2</v>
      </c>
      <c r="AD62" s="281">
        <f t="shared" si="39"/>
        <v>7.7134291054385962E-2</v>
      </c>
      <c r="AE62" s="282">
        <f t="shared" si="43"/>
        <v>7.504831180630811E-2</v>
      </c>
      <c r="AF62" s="281"/>
      <c r="AG62" s="250">
        <v>1983</v>
      </c>
      <c r="AH62" s="251">
        <v>0.22339999999999999</v>
      </c>
      <c r="AI62" s="252">
        <v>8.4500000000000006E-2</v>
      </c>
      <c r="AJ62" s="253">
        <v>3.2000000000000001E-2</v>
      </c>
      <c r="AK62" s="256">
        <f t="shared" si="41"/>
        <v>111.38768097935261</v>
      </c>
      <c r="AL62" s="256">
        <f t="shared" si="41"/>
        <v>6.1746889964549245</v>
      </c>
      <c r="AM62" s="256">
        <f t="shared" si="41"/>
        <v>6.644176710729413</v>
      </c>
      <c r="AN62" s="282">
        <f t="shared" si="30"/>
        <v>0.12</v>
      </c>
      <c r="AO62" s="279">
        <f t="shared" si="22"/>
        <v>43.896802306565519</v>
      </c>
      <c r="AQ62" s="480">
        <v>1983</v>
      </c>
      <c r="AR62" s="480">
        <v>17.27</v>
      </c>
      <c r="AS62" s="480">
        <v>5.29</v>
      </c>
      <c r="AT62" s="480">
        <v>22.56</v>
      </c>
    </row>
    <row r="63" spans="1:55" ht="15" customHeight="1">
      <c r="A63" s="455"/>
      <c r="B63" s="455"/>
      <c r="C63" s="455"/>
      <c r="D63" s="456"/>
      <c r="E63" s="455"/>
      <c r="F63" s="455"/>
      <c r="G63" s="490"/>
      <c r="H63" s="455"/>
      <c r="I63" s="455"/>
      <c r="J63" s="455"/>
      <c r="K63" s="455"/>
      <c r="L63" s="457"/>
      <c r="M63" s="457"/>
      <c r="N63" s="457"/>
      <c r="O63" s="457"/>
      <c r="P63" s="457"/>
      <c r="Q63" s="457"/>
      <c r="AA63" s="293">
        <v>1984</v>
      </c>
      <c r="AB63" s="281">
        <f>(AK63/AK53)^(1/10)-1</f>
        <v>0.14612040876127264</v>
      </c>
      <c r="AC63" s="281">
        <f t="shared" si="42"/>
        <v>7.7427579338393837E-2</v>
      </c>
      <c r="AD63" s="281">
        <f t="shared" si="39"/>
        <v>8.3582174187841085E-2</v>
      </c>
      <c r="AE63" s="282">
        <f t="shared" si="43"/>
        <v>7.2168590593069126E-2</v>
      </c>
      <c r="AF63" s="281"/>
      <c r="AG63" s="250">
        <v>1984</v>
      </c>
      <c r="AH63" s="251">
        <v>6.1499999999999999E-2</v>
      </c>
      <c r="AI63" s="252">
        <v>9.6100000000000005E-2</v>
      </c>
      <c r="AJ63" s="253">
        <v>0.13730000000000001</v>
      </c>
      <c r="AK63" s="256">
        <f t="shared" si="41"/>
        <v>118.23802335958281</v>
      </c>
      <c r="AL63" s="256">
        <f t="shared" si="41"/>
        <v>6.7680766090142432</v>
      </c>
      <c r="AM63" s="256">
        <f t="shared" si="41"/>
        <v>7.5564221731125611</v>
      </c>
      <c r="AN63" s="282">
        <f t="shared" si="30"/>
        <v>6.1499999999999999E-2</v>
      </c>
      <c r="AO63" s="279">
        <f t="shared" si="22"/>
        <v>46.596455648419301</v>
      </c>
      <c r="AQ63" s="480">
        <v>1984</v>
      </c>
      <c r="AR63" s="480">
        <v>1.4</v>
      </c>
      <c r="AS63" s="480">
        <v>4.87</v>
      </c>
      <c r="AT63" s="480">
        <v>6.27</v>
      </c>
    </row>
    <row r="64" spans="1:55" ht="15" customHeight="1">
      <c r="A64" s="455"/>
      <c r="B64" s="455"/>
      <c r="C64" s="455"/>
      <c r="D64" s="456"/>
      <c r="E64" s="455"/>
      <c r="F64" s="455"/>
      <c r="G64" s="490"/>
      <c r="H64" s="455"/>
      <c r="I64" s="455"/>
      <c r="J64" s="455"/>
      <c r="K64" s="455"/>
      <c r="L64" s="457"/>
      <c r="M64" s="457"/>
      <c r="N64" s="457"/>
      <c r="O64" s="457"/>
      <c r="P64" s="457"/>
      <c r="Q64" s="457"/>
      <c r="AA64" s="293">
        <v>1985</v>
      </c>
      <c r="AB64" s="281">
        <f>(AK64/AK53)^(1/10)-1</f>
        <v>0.17770594721799671</v>
      </c>
      <c r="AC64" s="281">
        <f t="shared" si="42"/>
        <v>8.5808116416276281E-2</v>
      </c>
      <c r="AD64" s="281">
        <f t="shared" si="39"/>
        <v>8.3582174187841085E-2</v>
      </c>
      <c r="AE64" s="282">
        <f t="shared" si="43"/>
        <v>7.2168590593069348E-2</v>
      </c>
      <c r="AF64" s="281"/>
      <c r="AG64" s="250">
        <v>1985</v>
      </c>
      <c r="AH64" s="251">
        <v>0.31240000000000001</v>
      </c>
      <c r="AI64" s="252">
        <v>7.4899999999999994E-2</v>
      </c>
      <c r="AJ64" s="253">
        <v>0.2571</v>
      </c>
      <c r="AK64" s="256">
        <f t="shared" si="41"/>
        <v>155.17558185711647</v>
      </c>
      <c r="AL64" s="256">
        <f t="shared" si="41"/>
        <v>7.2750055470294095</v>
      </c>
      <c r="AM64" s="256">
        <f t="shared" si="41"/>
        <v>9.4991783138197992</v>
      </c>
      <c r="AN64" s="282">
        <f t="shared" si="30"/>
        <v>0.12</v>
      </c>
      <c r="AO64" s="279">
        <f t="shared" si="22"/>
        <v>52.188030326229622</v>
      </c>
      <c r="AQ64" s="480">
        <v>1985</v>
      </c>
      <c r="AR64" s="480">
        <v>26.33</v>
      </c>
      <c r="AS64" s="480">
        <v>5.4</v>
      </c>
      <c r="AT64" s="480">
        <v>31.73</v>
      </c>
    </row>
    <row r="65" spans="1:46" ht="15" customHeight="1">
      <c r="A65" s="455"/>
      <c r="B65" s="455"/>
      <c r="C65" s="455"/>
      <c r="D65" s="456"/>
      <c r="E65" s="455"/>
      <c r="F65" s="455"/>
      <c r="G65" s="490"/>
      <c r="H65" s="455"/>
      <c r="I65" s="455"/>
      <c r="J65" s="455"/>
      <c r="K65" s="455"/>
      <c r="L65" s="457"/>
      <c r="M65" s="457"/>
      <c r="N65" s="457"/>
      <c r="O65" s="457"/>
      <c r="P65" s="457"/>
      <c r="Q65" s="457"/>
      <c r="AA65" s="293">
        <v>1986</v>
      </c>
      <c r="AB65" s="281">
        <f>(AK65/AK55)^(1/10)-1</f>
        <v>0.13618851278756772</v>
      </c>
      <c r="AC65" s="281">
        <f t="shared" si="42"/>
        <v>0.10082378893712662</v>
      </c>
      <c r="AD65" s="281">
        <f t="shared" si="39"/>
        <v>8.3582174187841085E-2</v>
      </c>
      <c r="AE65" s="282">
        <f t="shared" si="43"/>
        <v>7.826120884139276E-2</v>
      </c>
      <c r="AF65" s="281"/>
      <c r="AG65" s="250">
        <v>1986</v>
      </c>
      <c r="AH65" s="251">
        <v>0.18490000000000001</v>
      </c>
      <c r="AI65" s="252">
        <v>6.0400000000000002E-2</v>
      </c>
      <c r="AJ65" s="253">
        <v>0.24279999999999999</v>
      </c>
      <c r="AK65" s="256">
        <f t="shared" si="41"/>
        <v>183.86754694249731</v>
      </c>
      <c r="AL65" s="256">
        <f t="shared" si="41"/>
        <v>7.7144158820699857</v>
      </c>
      <c r="AM65" s="256">
        <f t="shared" si="41"/>
        <v>11.805578808415245</v>
      </c>
      <c r="AN65" s="282">
        <f t="shared" si="30"/>
        <v>0.12</v>
      </c>
      <c r="AO65" s="279">
        <f t="shared" si="22"/>
        <v>58.45059396537718</v>
      </c>
      <c r="AQ65" s="480">
        <v>1986</v>
      </c>
      <c r="AR65" s="480">
        <v>14.62</v>
      </c>
      <c r="AS65" s="480">
        <v>4.05</v>
      </c>
      <c r="AT65" s="480">
        <v>18.670000000000002</v>
      </c>
    </row>
    <row r="66" spans="1:46" ht="15" customHeight="1">
      <c r="A66" s="455"/>
      <c r="B66" s="455"/>
      <c r="C66" s="455"/>
      <c r="D66" s="456"/>
      <c r="E66" s="455"/>
      <c r="F66" s="455"/>
      <c r="G66" s="490"/>
      <c r="H66" s="455"/>
      <c r="I66" s="455"/>
      <c r="J66" s="455"/>
      <c r="K66" s="455"/>
      <c r="L66" s="457"/>
      <c r="M66" s="457"/>
      <c r="N66" s="457"/>
      <c r="O66" s="457"/>
      <c r="P66" s="457"/>
      <c r="Q66" s="457"/>
      <c r="AA66" s="293">
        <v>1987</v>
      </c>
      <c r="AB66" s="281">
        <f>(AK66/AK55)^(1/10)-1</f>
        <v>0.14262327302408129</v>
      </c>
      <c r="AC66" s="281">
        <f t="shared" si="42"/>
        <v>9.221493206029141E-2</v>
      </c>
      <c r="AD66" s="281">
        <f t="shared" si="39"/>
        <v>8.9719000435408036E-2</v>
      </c>
      <c r="AE66" s="282">
        <f t="shared" si="43"/>
        <v>7.5200396950290349E-2</v>
      </c>
      <c r="AF66" s="281"/>
      <c r="AG66" s="250">
        <v>1987</v>
      </c>
      <c r="AH66" s="251">
        <v>5.8099999999999999E-2</v>
      </c>
      <c r="AI66" s="252">
        <v>5.7200000000000001E-2</v>
      </c>
      <c r="AJ66" s="253">
        <v>-4.9599999999999998E-2</v>
      </c>
      <c r="AK66" s="256">
        <f t="shared" si="41"/>
        <v>194.55025141985641</v>
      </c>
      <c r="AL66" s="256">
        <f t="shared" si="41"/>
        <v>8.1556804705243877</v>
      </c>
      <c r="AM66" s="256">
        <f t="shared" si="41"/>
        <v>11.220022099517848</v>
      </c>
      <c r="AN66" s="282">
        <f t="shared" si="30"/>
        <v>5.8099999999999999E-2</v>
      </c>
      <c r="AO66" s="279">
        <f t="shared" si="22"/>
        <v>61.846573474765599</v>
      </c>
      <c r="AQ66" s="480">
        <v>1987</v>
      </c>
      <c r="AR66" s="480">
        <v>2.0299999999999998</v>
      </c>
      <c r="AS66" s="480">
        <v>3.22</v>
      </c>
      <c r="AT66" s="480">
        <v>5.25</v>
      </c>
    </row>
    <row r="67" spans="1:46" ht="15" customHeight="1">
      <c r="A67" s="455"/>
      <c r="B67" s="455"/>
      <c r="C67" s="455"/>
      <c r="D67" s="456"/>
      <c r="E67" s="455"/>
      <c r="F67" s="455"/>
      <c r="G67" s="490"/>
      <c r="H67" s="455"/>
      <c r="I67" s="455"/>
      <c r="J67" s="455"/>
      <c r="K67" s="455"/>
      <c r="L67" s="457"/>
      <c r="M67" s="457"/>
      <c r="N67" s="457"/>
      <c r="O67" s="457"/>
      <c r="P67" s="457"/>
      <c r="Q67" s="457"/>
      <c r="AA67" s="293">
        <v>1988</v>
      </c>
      <c r="AB67" s="281">
        <f>(AK67/AK57)^(1/10)-1</f>
        <v>0.16132532004812372</v>
      </c>
      <c r="AC67" s="281">
        <f t="shared" si="42"/>
        <v>9.4971744827170079E-2</v>
      </c>
      <c r="AD67" s="281">
        <f t="shared" si="39"/>
        <v>9.5209714063734907E-2</v>
      </c>
      <c r="AE67" s="282">
        <f t="shared" si="43"/>
        <v>7.57748067097197E-2</v>
      </c>
      <c r="AF67" s="281"/>
      <c r="AG67" s="250">
        <v>1988</v>
      </c>
      <c r="AH67" s="251">
        <v>0.16539999999999999</v>
      </c>
      <c r="AI67" s="252">
        <v>6.4500000000000002E-2</v>
      </c>
      <c r="AJ67" s="253">
        <v>8.2199999999999995E-2</v>
      </c>
      <c r="AK67" s="256">
        <f t="shared" si="41"/>
        <v>226.72886300470066</v>
      </c>
      <c r="AL67" s="256">
        <f t="shared" si="41"/>
        <v>8.6817218608732105</v>
      </c>
      <c r="AM67" s="256">
        <f t="shared" si="41"/>
        <v>12.142307916098217</v>
      </c>
      <c r="AN67" s="282">
        <f t="shared" si="30"/>
        <v>0.12</v>
      </c>
      <c r="AO67" s="279">
        <f t="shared" si="22"/>
        <v>69.268162291737482</v>
      </c>
      <c r="AQ67" s="480">
        <v>1988</v>
      </c>
      <c r="AR67" s="480">
        <v>12.4</v>
      </c>
      <c r="AS67" s="480">
        <v>4.21</v>
      </c>
      <c r="AT67" s="480">
        <v>16.61</v>
      </c>
    </row>
    <row r="68" spans="1:46" ht="15" customHeight="1">
      <c r="A68" s="455"/>
      <c r="B68" s="455"/>
      <c r="C68" s="455"/>
      <c r="D68" s="456"/>
      <c r="E68" s="455"/>
      <c r="F68" s="455"/>
      <c r="G68" s="490"/>
      <c r="H68" s="455"/>
      <c r="I68" s="455"/>
      <c r="J68" s="455"/>
      <c r="K68" s="455"/>
      <c r="L68" s="457"/>
      <c r="M68" s="457"/>
      <c r="N68" s="457"/>
      <c r="O68" s="457"/>
      <c r="P68" s="457"/>
      <c r="Q68" s="457"/>
      <c r="AA68" s="293">
        <v>1989</v>
      </c>
      <c r="AB68" s="281">
        <f>(AK68/AK57)^(1/10)-1</f>
        <v>0.1935479315751607</v>
      </c>
      <c r="AC68" s="281">
        <f t="shared" si="42"/>
        <v>0.1148417570628435</v>
      </c>
      <c r="AD68" s="281">
        <f t="shared" si="39"/>
        <v>9.5209714063734907E-2</v>
      </c>
      <c r="AE68" s="282">
        <f t="shared" si="43"/>
        <v>8.1887917349176886E-2</v>
      </c>
      <c r="AF68" s="281"/>
      <c r="AG68" s="250">
        <v>1989</v>
      </c>
      <c r="AH68" s="251">
        <v>0.31480000000000002</v>
      </c>
      <c r="AI68" s="252">
        <v>8.1100000000000005E-2</v>
      </c>
      <c r="AJ68" s="253">
        <v>0.1769</v>
      </c>
      <c r="AK68" s="256">
        <f t="shared" si="41"/>
        <v>298.10310907858042</v>
      </c>
      <c r="AL68" s="256">
        <f t="shared" si="41"/>
        <v>9.3858095037900267</v>
      </c>
      <c r="AM68" s="256">
        <f t="shared" si="41"/>
        <v>14.290282186455991</v>
      </c>
      <c r="AN68" s="282">
        <f t="shared" si="30"/>
        <v>0.12</v>
      </c>
      <c r="AO68" s="279">
        <f t="shared" si="22"/>
        <v>77.580341766745988</v>
      </c>
      <c r="AQ68" s="480">
        <v>1989</v>
      </c>
      <c r="AR68" s="480">
        <v>27.25</v>
      </c>
      <c r="AS68" s="480">
        <v>4.4400000000000004</v>
      </c>
      <c r="AT68" s="480">
        <v>31.69</v>
      </c>
    </row>
    <row r="69" spans="1:46" ht="15" customHeight="1">
      <c r="A69" s="455"/>
      <c r="B69" s="455"/>
      <c r="C69" s="455"/>
      <c r="D69" s="456"/>
      <c r="E69" s="455"/>
      <c r="F69" s="455"/>
      <c r="G69" s="490"/>
      <c r="H69" s="455"/>
      <c r="I69" s="455"/>
      <c r="J69" s="455"/>
      <c r="K69" s="455"/>
      <c r="L69" s="457"/>
      <c r="M69" s="457"/>
      <c r="N69" s="457"/>
      <c r="O69" s="457"/>
      <c r="P69" s="457"/>
      <c r="Q69" s="457"/>
      <c r="AA69" s="293">
        <v>1990</v>
      </c>
      <c r="AB69" s="281">
        <f>(AK69/AK59)^(1/10)-1</f>
        <v>0.13799207027334126</v>
      </c>
      <c r="AC69" s="281">
        <f t="shared" si="42"/>
        <v>0.11116556915934517</v>
      </c>
      <c r="AD69" s="281">
        <f t="shared" si="39"/>
        <v>8.2867912460077076E-2</v>
      </c>
      <c r="AE69" s="282">
        <f t="shared" si="43"/>
        <v>7.9997296845333743E-2</v>
      </c>
      <c r="AF69" s="281"/>
      <c r="AG69" s="250">
        <v>1990</v>
      </c>
      <c r="AH69" s="251">
        <v>-3.0599999999999999E-2</v>
      </c>
      <c r="AI69" s="252">
        <v>7.5499999999999998E-2</v>
      </c>
      <c r="AJ69" s="253">
        <v>6.2399999999999997E-2</v>
      </c>
      <c r="AK69" s="256">
        <f t="shared" si="41"/>
        <v>288.98115394077587</v>
      </c>
      <c r="AL69" s="256">
        <f t="shared" si="41"/>
        <v>10.094438121326172</v>
      </c>
      <c r="AM69" s="256">
        <f t="shared" si="41"/>
        <v>15.181995794890845</v>
      </c>
      <c r="AN69" s="282">
        <f t="shared" si="30"/>
        <v>0</v>
      </c>
      <c r="AO69" s="279">
        <f t="shared" si="22"/>
        <v>77.580341766745988</v>
      </c>
      <c r="AQ69" s="480">
        <v>1990</v>
      </c>
      <c r="AR69" s="480">
        <v>-6.56</v>
      </c>
      <c r="AS69" s="480">
        <v>3.46</v>
      </c>
      <c r="AT69" s="480">
        <v>-3.1</v>
      </c>
    </row>
    <row r="70" spans="1:46" ht="15" customHeight="1">
      <c r="A70" s="455"/>
      <c r="B70" s="455"/>
      <c r="C70" s="455"/>
      <c r="D70" s="456"/>
      <c r="E70" s="455"/>
      <c r="F70" s="455"/>
      <c r="G70" s="490"/>
      <c r="H70" s="455"/>
      <c r="I70" s="455"/>
      <c r="J70" s="455"/>
      <c r="K70" s="455"/>
      <c r="L70" s="457"/>
      <c r="M70" s="457"/>
      <c r="N70" s="457"/>
      <c r="O70" s="457"/>
      <c r="P70" s="457"/>
      <c r="Q70" s="457"/>
      <c r="AA70" s="293">
        <v>1991</v>
      </c>
      <c r="AB70" s="281">
        <f>(AK70/AK59)^(1/10)-1</f>
        <v>0.16845055685299504</v>
      </c>
      <c r="AC70" s="281">
        <f t="shared" si="42"/>
        <v>0.11847741770097198</v>
      </c>
      <c r="AD70" s="281">
        <f t="shared" si="39"/>
        <v>9.5209714063734907E-2</v>
      </c>
      <c r="AE70" s="282">
        <f t="shared" si="43"/>
        <v>7.9997296845333743E-2</v>
      </c>
      <c r="AF70" s="281"/>
      <c r="AG70" s="250">
        <v>1991</v>
      </c>
      <c r="AH70" s="251">
        <v>0.30230000000000001</v>
      </c>
      <c r="AI70" s="252">
        <v>5.6099999999999997E-2</v>
      </c>
      <c r="AJ70" s="253">
        <v>0.15</v>
      </c>
      <c r="AK70" s="256">
        <f t="shared" si="41"/>
        <v>376.34015677707242</v>
      </c>
      <c r="AL70" s="256">
        <f t="shared" si="41"/>
        <v>10.660736099932571</v>
      </c>
      <c r="AM70" s="256">
        <f t="shared" si="41"/>
        <v>17.45929516412447</v>
      </c>
      <c r="AN70" s="282">
        <f t="shared" si="30"/>
        <v>0.12</v>
      </c>
      <c r="AO70" s="279">
        <f t="shared" si="22"/>
        <v>86.88998277875551</v>
      </c>
      <c r="AQ70" s="480">
        <v>1991</v>
      </c>
      <c r="AR70" s="480">
        <v>26.31</v>
      </c>
      <c r="AS70" s="480">
        <v>4.16</v>
      </c>
      <c r="AT70" s="480">
        <v>30.47</v>
      </c>
    </row>
    <row r="71" spans="1:46" ht="15" customHeight="1">
      <c r="A71" s="455"/>
      <c r="B71" s="455"/>
      <c r="C71" s="455"/>
      <c r="D71" s="456"/>
      <c r="E71" s="455"/>
      <c r="F71" s="455"/>
      <c r="G71" s="490"/>
      <c r="H71" s="455"/>
      <c r="I71" s="455"/>
      <c r="J71" s="455"/>
      <c r="K71" s="455"/>
      <c r="L71" s="457"/>
      <c r="M71" s="457"/>
      <c r="N71" s="457"/>
      <c r="O71" s="457"/>
      <c r="P71" s="457"/>
      <c r="Q71" s="457"/>
      <c r="AA71" s="293">
        <v>1992</v>
      </c>
      <c r="AB71" s="281">
        <f>(AK71/AK61)^(1/10)-1</f>
        <v>0.16082831747341841</v>
      </c>
      <c r="AC71" s="281">
        <f t="shared" si="42"/>
        <v>0.11291530186203458</v>
      </c>
      <c r="AD71" s="281">
        <f t="shared" si="39"/>
        <v>9.0717525006936972E-2</v>
      </c>
      <c r="AE71" s="282">
        <f t="shared" si="43"/>
        <v>7.7780124612758739E-2</v>
      </c>
      <c r="AF71" s="281"/>
      <c r="AG71" s="250">
        <v>1992</v>
      </c>
      <c r="AH71" s="251">
        <v>7.4899999999999994E-2</v>
      </c>
      <c r="AI71" s="252">
        <v>3.4099999999999998E-2</v>
      </c>
      <c r="AJ71" s="253">
        <v>9.3600000000000003E-2</v>
      </c>
      <c r="AK71" s="256">
        <f t="shared" si="41"/>
        <v>404.52803451967515</v>
      </c>
      <c r="AL71" s="256">
        <f t="shared" si="41"/>
        <v>11.024267200940271</v>
      </c>
      <c r="AM71" s="256">
        <f t="shared" si="41"/>
        <v>19.093485191486518</v>
      </c>
      <c r="AN71" s="282">
        <f t="shared" ref="AN71:AN99" si="44">IF(AH71&gt;A$1,A$1,IF(AH71&lt;B$1,B$1,AH71))</f>
        <v>7.4899999999999994E-2</v>
      </c>
      <c r="AO71" s="279">
        <f t="shared" si="22"/>
        <v>93.3980424888843</v>
      </c>
      <c r="AQ71" s="480">
        <v>1992</v>
      </c>
      <c r="AR71" s="480">
        <v>4.46</v>
      </c>
      <c r="AS71" s="480">
        <v>3.16</v>
      </c>
      <c r="AT71" s="480">
        <v>7.62</v>
      </c>
    </row>
    <row r="72" spans="1:46" ht="15" customHeight="1">
      <c r="A72" s="455"/>
      <c r="B72" s="455"/>
      <c r="C72" s="455"/>
      <c r="D72" s="456"/>
      <c r="E72" s="455"/>
      <c r="F72" s="455"/>
      <c r="G72" s="490"/>
      <c r="H72" s="455"/>
      <c r="I72" s="455"/>
      <c r="J72" s="455"/>
      <c r="K72" s="455"/>
      <c r="L72" s="457"/>
      <c r="M72" s="457"/>
      <c r="N72" s="457"/>
      <c r="O72" s="457"/>
      <c r="P72" s="457"/>
      <c r="Q72" s="457"/>
      <c r="AA72" s="293">
        <v>1993</v>
      </c>
      <c r="AB72" s="281">
        <f>(AK72/AK61)^(1/10)-1</f>
        <v>0.17191311988344582</v>
      </c>
      <c r="AC72" s="281">
        <f t="shared" si="42"/>
        <v>0.12688427297808014</v>
      </c>
      <c r="AD72" s="281">
        <f t="shared" si="39"/>
        <v>8.872428763347795E-2</v>
      </c>
      <c r="AE72" s="282">
        <f t="shared" si="43"/>
        <v>8.2913784063060936E-2</v>
      </c>
      <c r="AF72" s="281"/>
      <c r="AG72" s="250">
        <v>1993</v>
      </c>
      <c r="AH72" s="251">
        <v>9.9699999999999997E-2</v>
      </c>
      <c r="AI72" s="252">
        <v>2.98E-2</v>
      </c>
      <c r="AJ72" s="253">
        <v>0.1421</v>
      </c>
      <c r="AK72" s="256">
        <f t="shared" si="41"/>
        <v>444.85947956128672</v>
      </c>
      <c r="AL72" s="256">
        <f t="shared" si="41"/>
        <v>11.352790363528291</v>
      </c>
      <c r="AM72" s="256">
        <f t="shared" si="41"/>
        <v>21.806669437196756</v>
      </c>
      <c r="AN72" s="282">
        <f t="shared" si="44"/>
        <v>9.9699999999999997E-2</v>
      </c>
      <c r="AO72" s="279">
        <f t="shared" si="22"/>
        <v>102.70982732502605</v>
      </c>
      <c r="AQ72" s="480">
        <v>1993</v>
      </c>
      <c r="AR72" s="480">
        <v>7.06</v>
      </c>
      <c r="AS72" s="480">
        <v>3.02</v>
      </c>
      <c r="AT72" s="480">
        <v>10.08</v>
      </c>
    </row>
    <row r="73" spans="1:46" ht="15" customHeight="1">
      <c r="A73" s="455"/>
      <c r="B73" s="455"/>
      <c r="C73" s="455"/>
      <c r="D73" s="456"/>
      <c r="E73" s="455"/>
      <c r="F73" s="455"/>
      <c r="G73" s="490"/>
      <c r="H73" s="455"/>
      <c r="I73" s="455"/>
      <c r="J73" s="455"/>
      <c r="K73" s="455"/>
      <c r="L73" s="457"/>
      <c r="M73" s="457"/>
      <c r="N73" s="457"/>
      <c r="O73" s="457"/>
      <c r="P73" s="457"/>
      <c r="Q73" s="457"/>
      <c r="AA73" s="293">
        <v>1994</v>
      </c>
      <c r="AB73" s="281">
        <f>(AK73/AK63)^(1/10)-1</f>
        <v>0.14319514956100066</v>
      </c>
      <c r="AC73" s="281">
        <f t="shared" si="42"/>
        <v>0.1446568446957186</v>
      </c>
      <c r="AD73" s="281">
        <f t="shared" si="39"/>
        <v>8.3676650287681786E-2</v>
      </c>
      <c r="AE73" s="282">
        <f t="shared" si="43"/>
        <v>8.3629411208150595E-2</v>
      </c>
      <c r="AF73" s="281"/>
      <c r="AG73" s="250">
        <v>1994</v>
      </c>
      <c r="AH73" s="251">
        <v>1.3299999999999999E-2</v>
      </c>
      <c r="AI73" s="252">
        <v>3.9899999999999998E-2</v>
      </c>
      <c r="AJ73" s="253">
        <v>-8.0399999999999999E-2</v>
      </c>
      <c r="AK73" s="256">
        <f t="shared" ref="AK73:AM88" si="45">AK72*(1+AH73)</f>
        <v>450.77611063945187</v>
      </c>
      <c r="AL73" s="256">
        <f t="shared" si="45"/>
        <v>11.80576669903307</v>
      </c>
      <c r="AM73" s="256">
        <f t="shared" si="45"/>
        <v>20.053413214446138</v>
      </c>
      <c r="AN73" s="282">
        <f t="shared" si="44"/>
        <v>1.3299999999999999E-2</v>
      </c>
      <c r="AO73" s="279">
        <f t="shared" ref="AO73:AO98" si="46">AO72*(1+AN73)</f>
        <v>104.07586802844891</v>
      </c>
      <c r="AQ73" s="480">
        <v>1994</v>
      </c>
      <c r="AR73" s="480">
        <v>-1.54</v>
      </c>
      <c r="AS73" s="480">
        <v>2.86</v>
      </c>
      <c r="AT73" s="480">
        <v>1.32</v>
      </c>
    </row>
    <row r="74" spans="1:46" ht="15" customHeight="1">
      <c r="A74" s="455"/>
      <c r="B74" s="455"/>
      <c r="C74" s="455"/>
      <c r="D74" s="456"/>
      <c r="E74" s="455"/>
      <c r="F74" s="455"/>
      <c r="G74" s="490"/>
      <c r="H74" s="455"/>
      <c r="I74" s="455"/>
      <c r="J74" s="455"/>
      <c r="K74" s="455"/>
      <c r="L74" s="457"/>
      <c r="M74" s="457"/>
      <c r="N74" s="457"/>
      <c r="O74" s="457"/>
      <c r="P74" s="457"/>
      <c r="Q74" s="457"/>
      <c r="AA74" s="293">
        <v>1995</v>
      </c>
      <c r="AB74" s="281">
        <f>(AK74/AK63)^(1/10)-1</f>
        <v>0.17992875282594034</v>
      </c>
      <c r="AC74" s="281">
        <f t="shared" si="42"/>
        <v>0.14474033840790268</v>
      </c>
      <c r="AD74" s="281">
        <f t="shared" si="39"/>
        <v>8.3676650287681786E-2</v>
      </c>
      <c r="AE74" s="282">
        <f t="shared" si="43"/>
        <v>8.3629411208150595E-2</v>
      </c>
      <c r="AF74" s="281"/>
      <c r="AG74" s="250">
        <v>1995</v>
      </c>
      <c r="AH74" s="251">
        <v>0.372</v>
      </c>
      <c r="AI74" s="252">
        <v>5.5199999999999999E-2</v>
      </c>
      <c r="AJ74" s="253">
        <v>0.23480000000000001</v>
      </c>
      <c r="AK74" s="256">
        <f t="shared" si="45"/>
        <v>618.46482379732788</v>
      </c>
      <c r="AL74" s="256">
        <f t="shared" si="45"/>
        <v>12.457445020819694</v>
      </c>
      <c r="AM74" s="256">
        <f t="shared" si="45"/>
        <v>24.761954637198091</v>
      </c>
      <c r="AN74" s="282">
        <f t="shared" si="44"/>
        <v>0.12</v>
      </c>
      <c r="AO74" s="279">
        <f t="shared" si="46"/>
        <v>116.56497219186279</v>
      </c>
      <c r="AQ74" s="480">
        <v>1995</v>
      </c>
      <c r="AR74" s="480">
        <v>34.11</v>
      </c>
      <c r="AS74" s="480">
        <v>3.47</v>
      </c>
      <c r="AT74" s="480">
        <v>37.58</v>
      </c>
    </row>
    <row r="75" spans="1:46" ht="15" customHeight="1">
      <c r="A75" s="455"/>
      <c r="B75" s="455"/>
      <c r="C75" s="455"/>
      <c r="D75" s="456"/>
      <c r="E75" s="455"/>
      <c r="F75" s="455"/>
      <c r="G75" s="490"/>
      <c r="H75" s="455"/>
      <c r="I75" s="455"/>
      <c r="J75" s="455"/>
      <c r="K75" s="455"/>
      <c r="L75" s="457"/>
      <c r="M75" s="457"/>
      <c r="N75" s="457"/>
      <c r="O75" s="457"/>
      <c r="P75" s="457"/>
      <c r="Q75" s="457"/>
      <c r="AA75" s="293">
        <v>1996</v>
      </c>
      <c r="AB75" s="281">
        <f>(AK75/AK65)^(1/10)-1</f>
        <v>0.15334721725263534</v>
      </c>
      <c r="AC75" s="281">
        <f t="shared" si="42"/>
        <v>0.14473571600520607</v>
      </c>
      <c r="AD75" s="281">
        <f t="shared" si="39"/>
        <v>8.3676650287681786E-2</v>
      </c>
      <c r="AE75" s="282">
        <f t="shared" si="43"/>
        <v>8.3629411208150595E-2</v>
      </c>
      <c r="AF75" s="281"/>
      <c r="AG75" s="250">
        <v>1996</v>
      </c>
      <c r="AH75" s="251">
        <v>0.2382</v>
      </c>
      <c r="AI75" s="252">
        <v>5.0200000000000002E-2</v>
      </c>
      <c r="AJ75" s="253">
        <v>1.43E-2</v>
      </c>
      <c r="AK75" s="256">
        <f t="shared" si="45"/>
        <v>765.78314482585131</v>
      </c>
      <c r="AL75" s="256">
        <f t="shared" si="45"/>
        <v>13.082808760864843</v>
      </c>
      <c r="AM75" s="256">
        <f t="shared" si="45"/>
        <v>25.116050588510024</v>
      </c>
      <c r="AN75" s="282">
        <f t="shared" si="44"/>
        <v>0.12</v>
      </c>
      <c r="AO75" s="279">
        <f t="shared" si="46"/>
        <v>130.55276885488635</v>
      </c>
      <c r="AQ75" s="480">
        <v>1996</v>
      </c>
      <c r="AR75" s="480">
        <v>20.260000000000002</v>
      </c>
      <c r="AS75" s="480">
        <v>2.7</v>
      </c>
      <c r="AT75" s="480">
        <v>22.96</v>
      </c>
    </row>
    <row r="76" spans="1:46" ht="15" customHeight="1">
      <c r="A76" s="455"/>
      <c r="B76" s="455"/>
      <c r="C76" s="455"/>
      <c r="D76" s="456"/>
      <c r="E76" s="455"/>
      <c r="F76" s="455"/>
      <c r="G76" s="490"/>
      <c r="H76" s="455"/>
      <c r="I76" s="455"/>
      <c r="J76" s="455"/>
      <c r="K76" s="455"/>
      <c r="L76" s="457"/>
      <c r="M76" s="457"/>
      <c r="N76" s="457"/>
      <c r="O76" s="457"/>
      <c r="P76" s="457"/>
      <c r="Q76" s="457"/>
      <c r="AA76" s="293">
        <v>1997</v>
      </c>
      <c r="AB76" s="281">
        <f>(AK76/AK65)^(1/10)-1</f>
        <v>0.18569060656278391</v>
      </c>
      <c r="AC76" s="281">
        <f t="shared" si="42"/>
        <v>0.16488236322022809</v>
      </c>
      <c r="AD76" s="281">
        <f t="shared" si="39"/>
        <v>8.9855315399077984E-2</v>
      </c>
      <c r="AE76" s="282">
        <f t="shared" si="43"/>
        <v>8.9787155785890027E-2</v>
      </c>
      <c r="AF76" s="281"/>
      <c r="AG76" s="250">
        <v>1997</v>
      </c>
      <c r="AH76" s="251">
        <v>0.31859999999999999</v>
      </c>
      <c r="AI76" s="252">
        <v>5.0500000000000003E-2</v>
      </c>
      <c r="AJ76" s="253">
        <v>9.9400000000000002E-2</v>
      </c>
      <c r="AK76" s="256">
        <f t="shared" si="45"/>
        <v>1009.7616547673675</v>
      </c>
      <c r="AL76" s="256">
        <f t="shared" si="45"/>
        <v>13.743490603288517</v>
      </c>
      <c r="AM76" s="256">
        <f t="shared" si="45"/>
        <v>27.612586017007921</v>
      </c>
      <c r="AN76" s="282">
        <f t="shared" si="44"/>
        <v>0.12</v>
      </c>
      <c r="AO76" s="279">
        <f t="shared" si="46"/>
        <v>146.21910111747272</v>
      </c>
      <c r="AQ76" s="480">
        <v>1997</v>
      </c>
      <c r="AR76" s="480">
        <v>31.01</v>
      </c>
      <c r="AS76" s="480">
        <v>2.35</v>
      </c>
      <c r="AT76" s="480">
        <v>33.36</v>
      </c>
    </row>
    <row r="77" spans="1:46" ht="15" customHeight="1">
      <c r="AA77" s="293">
        <v>1998</v>
      </c>
      <c r="AB77" s="281">
        <f>(AK77/AK67)^(1/10)-1</f>
        <v>0.1904397224660288</v>
      </c>
      <c r="AC77" s="281">
        <f t="shared" si="42"/>
        <v>0.17579241011790026</v>
      </c>
      <c r="AD77" s="281">
        <f t="shared" si="39"/>
        <v>8.9855315399077762E-2</v>
      </c>
      <c r="AE77" s="282">
        <f t="shared" si="43"/>
        <v>9.2529234551215866E-2</v>
      </c>
      <c r="AF77" s="281"/>
      <c r="AG77" s="250">
        <v>1998</v>
      </c>
      <c r="AH77" s="251">
        <v>0.28339999999999999</v>
      </c>
      <c r="AI77" s="252">
        <v>4.7300000000000002E-2</v>
      </c>
      <c r="AJ77" s="253">
        <v>0.1492</v>
      </c>
      <c r="AK77" s="256">
        <f t="shared" si="45"/>
        <v>1295.9281077284393</v>
      </c>
      <c r="AL77" s="256">
        <f t="shared" si="45"/>
        <v>14.393557708824062</v>
      </c>
      <c r="AM77" s="256">
        <f t="shared" si="45"/>
        <v>31.732383850745503</v>
      </c>
      <c r="AN77" s="282">
        <f t="shared" si="44"/>
        <v>0.12</v>
      </c>
      <c r="AO77" s="279">
        <f t="shared" si="46"/>
        <v>163.76539325156946</v>
      </c>
      <c r="AQ77" s="480">
        <v>1998</v>
      </c>
      <c r="AR77" s="480">
        <v>26.67</v>
      </c>
      <c r="AS77" s="480">
        <v>1.91</v>
      </c>
      <c r="AT77" s="480">
        <v>28.58</v>
      </c>
    </row>
    <row r="78" spans="1:46" ht="15" customHeight="1">
      <c r="AA78" s="293">
        <v>1999</v>
      </c>
      <c r="AB78" s="281">
        <f>(AK78/AK67)^(1/10)-1</f>
        <v>0.21323923823685176</v>
      </c>
      <c r="AC78" s="281">
        <f t="shared" si="42"/>
        <v>0.17695698088687206</v>
      </c>
      <c r="AD78" s="281">
        <f t="shared" si="39"/>
        <v>8.9855315399077984E-2</v>
      </c>
      <c r="AE78" s="282">
        <f t="shared" si="43"/>
        <v>9.2529234551215866E-2</v>
      </c>
      <c r="AF78" s="281"/>
      <c r="AG78" s="250">
        <v>1999</v>
      </c>
      <c r="AH78" s="251">
        <v>0.2089</v>
      </c>
      <c r="AI78" s="252">
        <v>4.5100000000000001E-2</v>
      </c>
      <c r="AJ78" s="253">
        <v>-8.2500000000000004E-2</v>
      </c>
      <c r="AK78" s="256">
        <f t="shared" si="45"/>
        <v>1566.6474894329103</v>
      </c>
      <c r="AL78" s="256">
        <f t="shared" si="45"/>
        <v>15.042707161492027</v>
      </c>
      <c r="AM78" s="256">
        <f t="shared" si="45"/>
        <v>29.114462183058997</v>
      </c>
      <c r="AN78" s="282">
        <f t="shared" si="44"/>
        <v>0.12</v>
      </c>
      <c r="AO78" s="279">
        <f t="shared" si="46"/>
        <v>183.41724044175783</v>
      </c>
      <c r="AQ78" s="480">
        <v>1999</v>
      </c>
      <c r="AR78" s="480">
        <v>19.53</v>
      </c>
      <c r="AS78" s="480">
        <v>1.51</v>
      </c>
      <c r="AT78" s="480">
        <v>21.04</v>
      </c>
    </row>
    <row r="79" spans="1:46" ht="15" customHeight="1">
      <c r="AA79" s="293">
        <v>2000</v>
      </c>
      <c r="AB79" s="281">
        <f>(AK79/AK69)^(1/10)-1</f>
        <v>0.17300535858023669</v>
      </c>
      <c r="AC79" s="281">
        <f t="shared" si="42"/>
        <v>0.15536608763302673</v>
      </c>
      <c r="AD79" s="281">
        <f t="shared" si="39"/>
        <v>8.9855315399077984E-2</v>
      </c>
      <c r="AE79" s="282">
        <f t="shared" si="43"/>
        <v>8.6355996103357757E-2</v>
      </c>
      <c r="AF79" s="281"/>
      <c r="AG79" s="250">
        <v>2000</v>
      </c>
      <c r="AH79" s="251">
        <v>-9.0300000000000005E-2</v>
      </c>
      <c r="AI79" s="252">
        <v>5.7599999999999998E-2</v>
      </c>
      <c r="AJ79" s="253">
        <v>0.1666</v>
      </c>
      <c r="AK79" s="256">
        <f t="shared" si="45"/>
        <v>1425.1792211371185</v>
      </c>
      <c r="AL79" s="256">
        <f t="shared" si="45"/>
        <v>15.909167093993968</v>
      </c>
      <c r="AM79" s="256">
        <f t="shared" si="45"/>
        <v>33.964931582756627</v>
      </c>
      <c r="AN79" s="282">
        <f t="shared" si="44"/>
        <v>0</v>
      </c>
      <c r="AO79" s="279">
        <f t="shared" si="46"/>
        <v>183.41724044175783</v>
      </c>
      <c r="AQ79" s="480">
        <v>2000</v>
      </c>
      <c r="AR79" s="480">
        <v>-10.14</v>
      </c>
      <c r="AS79" s="480">
        <v>1.04</v>
      </c>
      <c r="AT79" s="480">
        <v>-9.1</v>
      </c>
    </row>
    <row r="80" spans="1:46" ht="15" customHeight="1">
      <c r="AA80" s="293">
        <v>2001</v>
      </c>
      <c r="AB80" s="281">
        <f>(AK80/AK69)^(1/10)-1</f>
        <v>0.15830312424037407</v>
      </c>
      <c r="AC80" s="281">
        <f t="shared" si="42"/>
        <v>0.15086951612339972</v>
      </c>
      <c r="AD80" s="281">
        <f t="shared" si="39"/>
        <v>7.7573851943609995E-2</v>
      </c>
      <c r="AE80" s="282">
        <f t="shared" si="43"/>
        <v>8.6355996103357757E-2</v>
      </c>
      <c r="AF80" s="281"/>
      <c r="AG80" s="250">
        <v>2001</v>
      </c>
      <c r="AH80" s="251">
        <v>-0.11849999999999999</v>
      </c>
      <c r="AI80" s="252">
        <v>3.6700000000000003E-2</v>
      </c>
      <c r="AJ80" s="253">
        <v>5.57E-2</v>
      </c>
      <c r="AK80" s="256">
        <f t="shared" si="45"/>
        <v>1256.2954834323698</v>
      </c>
      <c r="AL80" s="256">
        <f t="shared" si="45"/>
        <v>16.493033526343545</v>
      </c>
      <c r="AM80" s="256">
        <f t="shared" si="45"/>
        <v>35.856778271916177</v>
      </c>
      <c r="AN80" s="282">
        <f t="shared" si="44"/>
        <v>0</v>
      </c>
      <c r="AO80" s="279">
        <f t="shared" si="46"/>
        <v>183.41724044175783</v>
      </c>
      <c r="AQ80" s="480">
        <v>2001</v>
      </c>
      <c r="AR80" s="480">
        <v>-13.04</v>
      </c>
      <c r="AS80" s="480">
        <v>1.1499999999999999</v>
      </c>
      <c r="AT80" s="480">
        <v>-11.89</v>
      </c>
    </row>
    <row r="81" spans="27:46" ht="15" customHeight="1">
      <c r="AA81" s="293">
        <v>2002</v>
      </c>
      <c r="AB81" s="281">
        <f>(AK81/AK71)^(1/10)-1</f>
        <v>9.2547878598334465E-2</v>
      </c>
      <c r="AC81" s="281">
        <f t="shared" si="42"/>
        <v>0.1261707311382485</v>
      </c>
      <c r="AD81" s="281">
        <f t="shared" ref="AD81:AD98" si="47">(AO81/AO71)^(1/10)-1</f>
        <v>6.9818831019809569E-2</v>
      </c>
      <c r="AE81" s="282">
        <f t="shared" si="43"/>
        <v>8.0217638985654149E-2</v>
      </c>
      <c r="AF81" s="281"/>
      <c r="AG81" s="250">
        <v>2002</v>
      </c>
      <c r="AH81" s="251">
        <v>-0.21970000000000001</v>
      </c>
      <c r="AI81" s="252">
        <v>1.66E-2</v>
      </c>
      <c r="AJ81" s="253">
        <v>0.1512</v>
      </c>
      <c r="AK81" s="256">
        <f t="shared" si="45"/>
        <v>980.2873657222782</v>
      </c>
      <c r="AL81" s="256">
        <f t="shared" si="45"/>
        <v>16.766817882880847</v>
      </c>
      <c r="AM81" s="256">
        <f t="shared" si="45"/>
        <v>41.278323146629901</v>
      </c>
      <c r="AN81" s="282">
        <f t="shared" si="44"/>
        <v>0</v>
      </c>
      <c r="AO81" s="279">
        <f t="shared" si="46"/>
        <v>183.41724044175783</v>
      </c>
      <c r="AQ81" s="480">
        <v>2002</v>
      </c>
      <c r="AR81" s="480">
        <v>-23.37</v>
      </c>
      <c r="AS81" s="480">
        <v>1.27</v>
      </c>
      <c r="AT81" s="480">
        <v>-22.1</v>
      </c>
    </row>
    <row r="82" spans="27:46" ht="15" customHeight="1">
      <c r="AA82" s="293">
        <v>2003</v>
      </c>
      <c r="AB82" s="281">
        <f>(AK82/AK71)^(1/10)-1</f>
        <v>0.12016874020560708</v>
      </c>
      <c r="AC82" s="281">
        <f t="shared" si="42"/>
        <v>0.12887874898750429</v>
      </c>
      <c r="AD82" s="281">
        <f t="shared" si="47"/>
        <v>7.1777456266844286E-2</v>
      </c>
      <c r="AE82" s="282">
        <f t="shared" si="43"/>
        <v>8.0217638985654149E-2</v>
      </c>
      <c r="AF82" s="281"/>
      <c r="AG82" s="250">
        <v>2003</v>
      </c>
      <c r="AH82" s="251">
        <v>0.28360000000000002</v>
      </c>
      <c r="AI82" s="252">
        <v>1.03E-2</v>
      </c>
      <c r="AJ82" s="253">
        <v>3.8E-3</v>
      </c>
      <c r="AK82" s="256">
        <f>AK81*(1+AH82)</f>
        <v>1258.2968626411164</v>
      </c>
      <c r="AL82" s="256">
        <f>AL81*(1+AI82)</f>
        <v>16.939516107074521</v>
      </c>
      <c r="AM82" s="256">
        <f>AM81*(1+AJ82)</f>
        <v>41.435180774587096</v>
      </c>
      <c r="AN82" s="282">
        <f t="shared" si="44"/>
        <v>0.12</v>
      </c>
      <c r="AO82" s="279">
        <f t="shared" si="46"/>
        <v>205.42730929476878</v>
      </c>
      <c r="AQ82" s="480">
        <v>2003</v>
      </c>
      <c r="AR82" s="480">
        <v>26.38</v>
      </c>
      <c r="AS82" s="480">
        <v>2.2999999999999998</v>
      </c>
      <c r="AT82" s="480">
        <v>28.68</v>
      </c>
    </row>
    <row r="83" spans="27:46" ht="15" customHeight="1">
      <c r="AA83" s="293">
        <v>2004</v>
      </c>
      <c r="AB83" s="281">
        <f>(AK83/AK73)^(1/10)-1</f>
        <v>0.11947055267862905</v>
      </c>
      <c r="AC83" s="281">
        <f t="shared" si="42"/>
        <v>0.13127065987701703</v>
      </c>
      <c r="AD83" s="281">
        <f t="shared" si="47"/>
        <v>8.1337503113896314E-2</v>
      </c>
      <c r="AE83" s="282">
        <f t="shared" si="43"/>
        <v>8.2506444879157703E-2</v>
      </c>
      <c r="AF83" s="281"/>
      <c r="AG83" s="250">
        <v>2004</v>
      </c>
      <c r="AH83" s="251">
        <v>0.1074</v>
      </c>
      <c r="AI83" s="252">
        <v>1.23E-2</v>
      </c>
      <c r="AJ83" s="253">
        <v>4.4900000000000002E-2</v>
      </c>
      <c r="AK83" s="256">
        <f t="shared" si="45"/>
        <v>1393.4379456887723</v>
      </c>
      <c r="AL83" s="256">
        <f t="shared" si="45"/>
        <v>17.147872155191536</v>
      </c>
      <c r="AM83" s="256">
        <f t="shared" si="45"/>
        <v>43.295620391366057</v>
      </c>
      <c r="AN83" s="282">
        <f t="shared" si="44"/>
        <v>0.1074</v>
      </c>
      <c r="AO83" s="279">
        <f t="shared" si="46"/>
        <v>227.49020231302694</v>
      </c>
      <c r="AQ83" s="480">
        <v>2004</v>
      </c>
      <c r="AR83" s="480">
        <v>8.99</v>
      </c>
      <c r="AS83" s="480">
        <v>1.89</v>
      </c>
      <c r="AT83" s="480">
        <v>10.88</v>
      </c>
    </row>
    <row r="84" spans="27:46" ht="15" customHeight="1">
      <c r="AA84" s="293">
        <v>2005</v>
      </c>
      <c r="AB84" s="281">
        <f>(AK84/AK73)^(1/10)-1</f>
        <v>0.12476354704875048</v>
      </c>
      <c r="AC84" s="281">
        <f t="shared" si="42"/>
        <v>0.11863265179886229</v>
      </c>
      <c r="AD84" s="281">
        <f t="shared" si="47"/>
        <v>7.4207108168831803E-2</v>
      </c>
      <c r="AE84" s="282">
        <f t="shared" si="43"/>
        <v>7.8931490269710025E-2</v>
      </c>
      <c r="AF84" s="281"/>
      <c r="AG84" s="250">
        <v>2005</v>
      </c>
      <c r="AH84" s="251">
        <v>4.8300000000000003E-2</v>
      </c>
      <c r="AI84" s="252">
        <v>3.0099999999999998E-2</v>
      </c>
      <c r="AJ84" s="253">
        <v>2.87E-2</v>
      </c>
      <c r="AK84" s="256">
        <f t="shared" si="45"/>
        <v>1460.7409984655401</v>
      </c>
      <c r="AL84" s="256">
        <f t="shared" si="45"/>
        <v>17.6640231070628</v>
      </c>
      <c r="AM84" s="256">
        <f t="shared" si="45"/>
        <v>44.538204696598264</v>
      </c>
      <c r="AN84" s="282">
        <f t="shared" si="44"/>
        <v>4.8300000000000003E-2</v>
      </c>
      <c r="AO84" s="279">
        <f t="shared" si="46"/>
        <v>238.47797908474615</v>
      </c>
      <c r="AQ84" s="480">
        <v>2005</v>
      </c>
      <c r="AR84" s="480">
        <v>3</v>
      </c>
      <c r="AS84" s="480">
        <v>1.91</v>
      </c>
      <c r="AT84" s="480">
        <v>4.91</v>
      </c>
    </row>
    <row r="85" spans="27:46" ht="15" customHeight="1">
      <c r="AA85" s="293">
        <v>2006</v>
      </c>
      <c r="AB85" s="281">
        <f>(AK85/AK75)^(1/10)-1</f>
        <v>8.2296568978672546E-2</v>
      </c>
      <c r="AC85" s="281">
        <f t="shared" si="42"/>
        <v>0.11725723809408684</v>
      </c>
      <c r="AD85" s="281">
        <f t="shared" si="47"/>
        <v>7.4207108168831803E-2</v>
      </c>
      <c r="AE85" s="282">
        <f t="shared" si="43"/>
        <v>7.8931490269710025E-2</v>
      </c>
      <c r="AF85" s="281"/>
      <c r="AG85" s="250">
        <v>2006</v>
      </c>
      <c r="AH85" s="251">
        <v>0.15609999999999999</v>
      </c>
      <c r="AI85" s="252">
        <v>4.6800000000000001E-2</v>
      </c>
      <c r="AJ85" s="253">
        <v>1.9599999999999999E-2</v>
      </c>
      <c r="AK85" s="256">
        <f t="shared" si="45"/>
        <v>1688.7626683260107</v>
      </c>
      <c r="AL85" s="256">
        <f t="shared" si="45"/>
        <v>18.490699388473338</v>
      </c>
      <c r="AM85" s="256">
        <f t="shared" si="45"/>
        <v>45.411153508651594</v>
      </c>
      <c r="AN85" s="282">
        <f t="shared" si="44"/>
        <v>0.12</v>
      </c>
      <c r="AO85" s="279">
        <f t="shared" si="46"/>
        <v>267.09533657491573</v>
      </c>
      <c r="AQ85" s="480">
        <v>2006</v>
      </c>
      <c r="AR85" s="480">
        <v>13.62</v>
      </c>
      <c r="AS85" s="480">
        <v>2.17</v>
      </c>
      <c r="AT85" s="480">
        <v>15.79</v>
      </c>
    </row>
    <row r="86" spans="27:46" ht="15" customHeight="1">
      <c r="AA86" s="293">
        <v>2007</v>
      </c>
      <c r="AB86" s="281">
        <f>(AK86/AK75)^(1/10)-1</f>
        <v>8.8086178789567482E-2</v>
      </c>
      <c r="AC86" s="281">
        <f t="shared" si="42"/>
        <v>0.11708275449439265</v>
      </c>
      <c r="AD86" s="281">
        <f t="shared" si="47"/>
        <v>6.7783564097069871E-2</v>
      </c>
      <c r="AE86" s="282">
        <f t="shared" si="43"/>
        <v>7.8762992054771663E-2</v>
      </c>
      <c r="AF86" s="281"/>
      <c r="AG86" s="250">
        <v>2007</v>
      </c>
      <c r="AH86" s="251">
        <v>5.4800000000000001E-2</v>
      </c>
      <c r="AI86" s="252">
        <v>4.6399999999999997E-2</v>
      </c>
      <c r="AJ86" s="253">
        <v>0.1021</v>
      </c>
      <c r="AK86" s="256">
        <f t="shared" si="45"/>
        <v>1781.306862550276</v>
      </c>
      <c r="AL86" s="256">
        <f t="shared" si="45"/>
        <v>19.3486678400985</v>
      </c>
      <c r="AM86" s="256">
        <f t="shared" si="45"/>
        <v>50.047632281884923</v>
      </c>
      <c r="AN86" s="282">
        <f t="shared" si="44"/>
        <v>5.4800000000000001E-2</v>
      </c>
      <c r="AO86" s="279">
        <f t="shared" si="46"/>
        <v>281.73216101922111</v>
      </c>
      <c r="AQ86" s="480">
        <v>2007</v>
      </c>
      <c r="AR86" s="480">
        <v>3.53</v>
      </c>
      <c r="AS86" s="480">
        <v>1.96</v>
      </c>
      <c r="AT86" s="480">
        <v>5.49</v>
      </c>
    </row>
    <row r="87" spans="27:46" ht="15" customHeight="1">
      <c r="AA87" s="295">
        <v>2008</v>
      </c>
      <c r="AB87" s="296">
        <f>(AK87/AK77)^(1/10)-1</f>
        <v>-1.3586639822537605E-2</v>
      </c>
      <c r="AC87" s="296">
        <f t="shared" si="42"/>
        <v>8.3635384585812211E-2</v>
      </c>
      <c r="AD87" s="303">
        <f t="shared" si="47"/>
        <v>5.5750824855893111E-2</v>
      </c>
      <c r="AE87" s="302">
        <f t="shared" si="43"/>
        <v>7.2667538525407194E-2</v>
      </c>
      <c r="AF87" s="281"/>
      <c r="AG87" s="250">
        <v>2008</v>
      </c>
      <c r="AH87" s="251">
        <v>-0.36549999999999999</v>
      </c>
      <c r="AI87" s="252">
        <v>1.5900000000000001E-2</v>
      </c>
      <c r="AJ87" s="253">
        <v>0.20100000000000001</v>
      </c>
      <c r="AK87" s="256">
        <f t="shared" si="45"/>
        <v>1130.2392042881502</v>
      </c>
      <c r="AL87" s="256">
        <f t="shared" si="45"/>
        <v>19.656311658756067</v>
      </c>
      <c r="AM87" s="256">
        <f t="shared" si="45"/>
        <v>60.107206370543793</v>
      </c>
      <c r="AN87" s="282">
        <f t="shared" si="44"/>
        <v>0</v>
      </c>
      <c r="AO87" s="279">
        <f t="shared" si="46"/>
        <v>281.73216101922111</v>
      </c>
      <c r="AQ87" s="480">
        <v>2008</v>
      </c>
      <c r="AR87" s="480">
        <v>-38.49</v>
      </c>
      <c r="AS87" s="480">
        <v>1.49</v>
      </c>
      <c r="AT87" s="480">
        <v>-37</v>
      </c>
    </row>
    <row r="88" spans="27:46" ht="15" customHeight="1">
      <c r="AA88" s="295">
        <v>2009</v>
      </c>
      <c r="AB88" s="296">
        <f>(AK88/AK77)^(1/10)-1</f>
        <v>9.427924367831686E-3</v>
      </c>
      <c r="AC88" s="296">
        <f t="shared" si="42"/>
        <v>8.1305414186516156E-2</v>
      </c>
      <c r="AD88" s="303">
        <f t="shared" si="47"/>
        <v>5.5750824855893111E-2</v>
      </c>
      <c r="AE88" s="302">
        <f t="shared" si="43"/>
        <v>7.2667538525407194E-2</v>
      </c>
      <c r="AF88" s="281"/>
      <c r="AG88" s="250">
        <v>2009</v>
      </c>
      <c r="AH88" s="251">
        <v>0.25940000000000002</v>
      </c>
      <c r="AI88" s="261">
        <v>1.4E-3</v>
      </c>
      <c r="AJ88" s="268">
        <v>-0.11119999999999999</v>
      </c>
      <c r="AK88" s="256">
        <f t="shared" si="45"/>
        <v>1423.4232538804963</v>
      </c>
      <c r="AL88" s="256">
        <f t="shared" si="45"/>
        <v>19.683830495078325</v>
      </c>
      <c r="AM88" s="256">
        <f t="shared" si="45"/>
        <v>53.423285022139325</v>
      </c>
      <c r="AN88" s="282">
        <f t="shared" si="44"/>
        <v>0.12</v>
      </c>
      <c r="AO88" s="279">
        <f t="shared" si="46"/>
        <v>315.54002034152768</v>
      </c>
      <c r="AQ88" s="480">
        <v>2009</v>
      </c>
      <c r="AR88" s="480">
        <v>23.45</v>
      </c>
      <c r="AS88" s="480">
        <v>3.01</v>
      </c>
      <c r="AT88" s="480">
        <v>26.46</v>
      </c>
    </row>
    <row r="89" spans="27:46" ht="15" customHeight="1">
      <c r="AA89" s="295">
        <v>2010</v>
      </c>
      <c r="AB89" s="296">
        <f>(AK89/AK79)^(1/10)-1</f>
        <v>1.3790487129814011E-2</v>
      </c>
      <c r="AC89" s="296">
        <f t="shared" si="42"/>
        <v>9.0496067797101398E-2</v>
      </c>
      <c r="AD89" s="303">
        <f t="shared" si="47"/>
        <v>6.7783564097069871E-2</v>
      </c>
      <c r="AE89" s="302">
        <f t="shared" si="43"/>
        <v>7.8762992054771663E-2</v>
      </c>
      <c r="AF89" s="281"/>
      <c r="AG89" s="250">
        <v>2010</v>
      </c>
      <c r="AH89" s="251">
        <v>0.1482</v>
      </c>
      <c r="AI89" s="261">
        <v>1.2999999999999999E-3</v>
      </c>
      <c r="AJ89" s="268">
        <v>8.4599999999999995E-2</v>
      </c>
      <c r="AK89" s="256">
        <f t="shared" ref="AK89:AM99" si="48">AK88*(1+AH89)</f>
        <v>1634.3745801055861</v>
      </c>
      <c r="AL89" s="256">
        <f t="shared" si="48"/>
        <v>19.70941947472193</v>
      </c>
      <c r="AM89" s="256">
        <f t="shared" si="48"/>
        <v>57.942894935012312</v>
      </c>
      <c r="AN89" s="282">
        <f t="shared" si="44"/>
        <v>0.12</v>
      </c>
      <c r="AO89" s="279">
        <f t="shared" si="46"/>
        <v>353.40482278251102</v>
      </c>
      <c r="AQ89" s="480">
        <v>2010</v>
      </c>
      <c r="AR89" s="480">
        <v>12.78</v>
      </c>
      <c r="AS89" s="480">
        <v>2.2799999999999998</v>
      </c>
      <c r="AT89" s="480">
        <v>15.06</v>
      </c>
    </row>
    <row r="90" spans="27:46" ht="15" customHeight="1">
      <c r="AA90" s="295">
        <v>2011</v>
      </c>
      <c r="AB90" s="296">
        <f>(AK90/AK79)^(1/10)-1</f>
        <v>1.5899592050635292E-2</v>
      </c>
      <c r="AC90" s="296">
        <f t="shared" si="42"/>
        <v>7.7307886105167034E-2</v>
      </c>
      <c r="AD90" s="303">
        <f t="shared" si="47"/>
        <v>7.0004997024286642E-2</v>
      </c>
      <c r="AE90" s="302">
        <f t="shared" si="43"/>
        <v>7.3782755608587491E-2</v>
      </c>
      <c r="AF90" s="281"/>
      <c r="AG90" s="250">
        <v>2011</v>
      </c>
      <c r="AH90" s="251">
        <v>2.1000000000000001E-2</v>
      </c>
      <c r="AI90" s="252">
        <v>2.9999999999999997E-4</v>
      </c>
      <c r="AJ90" s="268">
        <v>0.16039999999999999</v>
      </c>
      <c r="AK90" s="256">
        <f t="shared" si="48"/>
        <v>1668.6964462878034</v>
      </c>
      <c r="AL90" s="256">
        <f t="shared" si="48"/>
        <v>19.715332300564345</v>
      </c>
      <c r="AM90" s="256">
        <f t="shared" si="48"/>
        <v>67.236935282588291</v>
      </c>
      <c r="AN90" s="282">
        <f t="shared" si="44"/>
        <v>2.1000000000000001E-2</v>
      </c>
      <c r="AO90" s="279">
        <f t="shared" si="46"/>
        <v>360.8263240609437</v>
      </c>
      <c r="AQ90" s="480">
        <v>2011</v>
      </c>
      <c r="AR90" s="480">
        <v>0</v>
      </c>
      <c r="AS90" s="480">
        <v>2.11</v>
      </c>
      <c r="AT90" s="480">
        <v>2.11</v>
      </c>
    </row>
    <row r="91" spans="27:46" ht="15" customHeight="1">
      <c r="AA91" s="295">
        <v>2012</v>
      </c>
      <c r="AB91" s="296">
        <f>(AK91/AK81)^(1/10)-1</f>
        <v>7.0303609034976899E-2</v>
      </c>
      <c r="AC91" s="296">
        <f t="shared" ref="AC91:AC98" si="49">(AK91/AK71)^(1/20)-1</f>
        <v>8.136854841783947E-2</v>
      </c>
      <c r="AD91" s="303">
        <f t="shared" si="47"/>
        <v>8.2200195751890304E-2</v>
      </c>
      <c r="AE91" s="302">
        <f t="shared" ref="AE91:AE98" si="50">(AO91/AO71)^(1/20)-1</f>
        <v>7.5991704591023668E-2</v>
      </c>
      <c r="AF91" s="281"/>
      <c r="AG91" s="250">
        <v>2012</v>
      </c>
      <c r="AH91" s="272">
        <v>0.15890000000000001</v>
      </c>
      <c r="AI91" s="261">
        <v>5.0000000000000001E-4</v>
      </c>
      <c r="AJ91" s="268">
        <v>2.9700000000000001E-2</v>
      </c>
      <c r="AK91" s="256">
        <f t="shared" si="48"/>
        <v>1933.8523116029355</v>
      </c>
      <c r="AL91" s="256">
        <f t="shared" si="48"/>
        <v>19.725189966714627</v>
      </c>
      <c r="AM91" s="256">
        <f t="shared" si="48"/>
        <v>69.233872260481164</v>
      </c>
      <c r="AN91" s="282">
        <f t="shared" si="44"/>
        <v>0.12</v>
      </c>
      <c r="AO91" s="279">
        <f t="shared" si="46"/>
        <v>404.125482948257</v>
      </c>
      <c r="AQ91" s="480">
        <v>2012</v>
      </c>
      <c r="AR91" s="480">
        <v>13.41</v>
      </c>
      <c r="AS91" s="480">
        <v>2.59</v>
      </c>
      <c r="AT91" s="480">
        <v>16</v>
      </c>
    </row>
    <row r="92" spans="27:46" ht="15" customHeight="1">
      <c r="AA92" s="295">
        <v>2013</v>
      </c>
      <c r="AB92" s="296">
        <f>(AK92/AK81)^(1/10)-1</f>
        <v>0.10055995523207506</v>
      </c>
      <c r="AC92" s="296">
        <f t="shared" si="49"/>
        <v>9.1348312111275476E-2</v>
      </c>
      <c r="AD92" s="303">
        <f t="shared" si="47"/>
        <v>8.2200195751890304E-2</v>
      </c>
      <c r="AE92" s="302">
        <f t="shared" si="50"/>
        <v>7.697621745999661E-2</v>
      </c>
      <c r="AF92" s="281"/>
      <c r="AG92" s="250">
        <v>2013</v>
      </c>
      <c r="AH92" s="272">
        <v>0.32150000000000001</v>
      </c>
      <c r="AI92" s="261">
        <v>6.9999999999999999E-4</v>
      </c>
      <c r="AJ92" s="268">
        <v>-9.0999999999999998E-2</v>
      </c>
      <c r="AK92" s="256">
        <f t="shared" si="48"/>
        <v>2555.5858297832792</v>
      </c>
      <c r="AL92" s="256">
        <f t="shared" si="48"/>
        <v>19.738997599691327</v>
      </c>
      <c r="AM92" s="256">
        <f t="shared" si="48"/>
        <v>62.933589884777376</v>
      </c>
      <c r="AN92" s="282">
        <f t="shared" si="44"/>
        <v>0.12</v>
      </c>
      <c r="AO92" s="279">
        <f t="shared" si="46"/>
        <v>452.62054090204788</v>
      </c>
      <c r="AQ92" s="480">
        <v>2013</v>
      </c>
      <c r="AR92" s="480">
        <v>29.6</v>
      </c>
      <c r="AS92" s="480">
        <v>2.79</v>
      </c>
      <c r="AT92" s="480">
        <v>32.39</v>
      </c>
    </row>
    <row r="93" spans="27:46" ht="15" customHeight="1">
      <c r="AA93" s="295">
        <v>2014</v>
      </c>
      <c r="AB93" s="296">
        <f>(AK93/AK83)^(1/10)-1</f>
        <v>7.6087340176924645E-2</v>
      </c>
      <c r="AC93" s="296">
        <f t="shared" si="49"/>
        <v>9.7564617431856515E-2</v>
      </c>
      <c r="AD93" s="303">
        <f t="shared" si="47"/>
        <v>8.3425263945462014E-2</v>
      </c>
      <c r="AE93" s="302">
        <f t="shared" si="50"/>
        <v>8.2380880155086711E-2</v>
      </c>
      <c r="AF93" s="281"/>
      <c r="AG93" s="250">
        <v>2014</v>
      </c>
      <c r="AH93" s="272">
        <v>0.13519999999999999</v>
      </c>
      <c r="AI93" s="261">
        <v>5.0000000000000001E-4</v>
      </c>
      <c r="AJ93" s="268">
        <v>0.1075</v>
      </c>
      <c r="AK93" s="256">
        <f t="shared" si="48"/>
        <v>2901.1010339699787</v>
      </c>
      <c r="AL93" s="256">
        <f t="shared" si="48"/>
        <v>19.748867098491171</v>
      </c>
      <c r="AM93" s="256">
        <f t="shared" si="48"/>
        <v>69.698950797390935</v>
      </c>
      <c r="AN93" s="282">
        <f t="shared" si="44"/>
        <v>0.12</v>
      </c>
      <c r="AO93" s="279">
        <f t="shared" si="46"/>
        <v>506.93500581029366</v>
      </c>
      <c r="AQ93" s="480">
        <v>2014</v>
      </c>
      <c r="AR93" s="480">
        <v>11.39</v>
      </c>
      <c r="AS93" s="480">
        <v>2.2999999999999998</v>
      </c>
      <c r="AT93" s="480">
        <v>13.69</v>
      </c>
    </row>
    <row r="94" spans="27:46" ht="15" customHeight="1">
      <c r="AA94" s="295">
        <v>2015</v>
      </c>
      <c r="AB94" s="296">
        <f>(AK94/AK83)^(1/10)-1</f>
        <v>7.7563198654269083E-2</v>
      </c>
      <c r="AC94" s="296">
        <f t="shared" si="49"/>
        <v>8.1085411449750122E-2</v>
      </c>
      <c r="AD94" s="303">
        <f t="shared" si="47"/>
        <v>7.9805732193676926E-2</v>
      </c>
      <c r="AE94" s="302">
        <f t="shared" si="50"/>
        <v>7.7002782245198187E-2</v>
      </c>
      <c r="AF94" s="281"/>
      <c r="AG94" s="250">
        <v>2015</v>
      </c>
      <c r="AH94" s="272">
        <v>1.38E-2</v>
      </c>
      <c r="AI94" s="261">
        <v>2.0999999999999999E-3</v>
      </c>
      <c r="AJ94" s="268">
        <v>1.2800000000000001E-2</v>
      </c>
      <c r="AK94" s="256">
        <f t="shared" si="48"/>
        <v>2941.1362282387645</v>
      </c>
      <c r="AL94" s="256">
        <f t="shared" si="48"/>
        <v>19.790339719398002</v>
      </c>
      <c r="AM94" s="256">
        <f t="shared" si="48"/>
        <v>70.591097367597527</v>
      </c>
      <c r="AN94" s="282">
        <f t="shared" si="44"/>
        <v>1.38E-2</v>
      </c>
      <c r="AO94" s="279">
        <f t="shared" si="46"/>
        <v>513.93070889047578</v>
      </c>
      <c r="AQ94" s="480">
        <v>2015</v>
      </c>
      <c r="AR94" s="480">
        <v>-0.73</v>
      </c>
      <c r="AS94" s="480">
        <v>2.11</v>
      </c>
      <c r="AT94" s="480">
        <v>1.38</v>
      </c>
    </row>
    <row r="95" spans="27:46" ht="15" customHeight="1">
      <c r="AA95" s="295">
        <v>2016</v>
      </c>
      <c r="AB95" s="296">
        <f>(AK95/AK85)^(1/10)-1</f>
        <v>6.884694134338476E-2</v>
      </c>
      <c r="AC95" s="296">
        <f t="shared" si="49"/>
        <v>7.5550732127171116E-2</v>
      </c>
      <c r="AD95" s="303">
        <f t="shared" si="47"/>
        <v>7.9554800760424316E-2</v>
      </c>
      <c r="AE95" s="302">
        <f t="shared" si="50"/>
        <v>7.6877634940309747E-2</v>
      </c>
      <c r="AF95" s="281"/>
      <c r="AG95" s="250">
        <v>2016</v>
      </c>
      <c r="AH95" s="272">
        <v>0.1174</v>
      </c>
      <c r="AI95" s="261">
        <v>5.1000000000000004E-3</v>
      </c>
      <c r="AJ95" s="268">
        <v>6.8999999999999999E-3</v>
      </c>
      <c r="AK95" s="256">
        <f t="shared" si="48"/>
        <v>3286.4256214339953</v>
      </c>
      <c r="AL95" s="256">
        <f t="shared" si="48"/>
        <v>19.891270451966935</v>
      </c>
      <c r="AM95" s="256">
        <f t="shared" si="48"/>
        <v>71.078175939433947</v>
      </c>
      <c r="AN95" s="282">
        <f t="shared" si="44"/>
        <v>0.1174</v>
      </c>
      <c r="AO95" s="279">
        <f t="shared" si="46"/>
        <v>574.26617411421762</v>
      </c>
      <c r="AQ95" s="480">
        <v>2016</v>
      </c>
      <c r="AR95" s="480">
        <v>9.5399999999999991</v>
      </c>
      <c r="AS95" s="480">
        <v>2.42</v>
      </c>
      <c r="AT95" s="480">
        <v>11.96</v>
      </c>
    </row>
    <row r="96" spans="27:46" ht="15" customHeight="1">
      <c r="AA96" s="295">
        <v>2017</v>
      </c>
      <c r="AB96" s="296">
        <f t="shared" ref="AB96:AB98" si="51">(AK96/AK86)^(1/10)-1</f>
        <v>8.4361104084662353E-2</v>
      </c>
      <c r="AC96" s="296">
        <f t="shared" si="49"/>
        <v>7.1304573279532102E-2</v>
      </c>
      <c r="AD96" s="303">
        <f t="shared" si="47"/>
        <v>8.6049157925802477E-2</v>
      </c>
      <c r="AE96" s="302">
        <f t="shared" si="50"/>
        <v>7.6877634940309747E-2</v>
      </c>
      <c r="AF96" s="281"/>
      <c r="AG96" s="250">
        <v>2017</v>
      </c>
      <c r="AH96" s="272">
        <v>0.21829999999999999</v>
      </c>
      <c r="AI96" s="261">
        <v>1.3899999999999999E-2</v>
      </c>
      <c r="AJ96" s="268">
        <v>2.8000000000000001E-2</v>
      </c>
      <c r="AK96" s="256">
        <f t="shared" si="48"/>
        <v>4003.8523345930362</v>
      </c>
      <c r="AL96" s="256">
        <f t="shared" si="48"/>
        <v>20.167759111249275</v>
      </c>
      <c r="AM96" s="256">
        <f t="shared" si="48"/>
        <v>73.068364865738104</v>
      </c>
      <c r="AN96" s="282">
        <f t="shared" si="44"/>
        <v>0.12</v>
      </c>
      <c r="AO96" s="279">
        <f t="shared" si="46"/>
        <v>643.17811500792379</v>
      </c>
      <c r="AQ96" s="480">
        <v>2017</v>
      </c>
      <c r="AR96" s="480">
        <v>19.420000000000002</v>
      </c>
      <c r="AS96" s="480">
        <v>2.41</v>
      </c>
      <c r="AT96" s="480">
        <v>21.83</v>
      </c>
    </row>
    <row r="97" spans="27:46" ht="15" customHeight="1">
      <c r="AA97" s="295">
        <v>2018</v>
      </c>
      <c r="AB97" s="296">
        <f t="shared" si="51"/>
        <v>0.12975856465423763</v>
      </c>
      <c r="AC97" s="296">
        <f t="shared" si="49"/>
        <v>5.565569289889849E-2</v>
      </c>
      <c r="AD97" s="303">
        <f t="shared" si="47"/>
        <v>8.6049157925802477E-2</v>
      </c>
      <c r="AE97" s="302">
        <f t="shared" si="50"/>
        <v>7.0792834452217512E-2</v>
      </c>
      <c r="AF97" s="288"/>
      <c r="AG97" s="271">
        <v>2018</v>
      </c>
      <c r="AH97" s="272">
        <v>-4.3799999999999999E-2</v>
      </c>
      <c r="AI97" s="261">
        <v>2.3699999999999999E-2</v>
      </c>
      <c r="AJ97" s="268">
        <v>-2.0000000000000001E-4</v>
      </c>
      <c r="AK97" s="256">
        <f t="shared" si="48"/>
        <v>3828.4836023378616</v>
      </c>
      <c r="AL97" s="256">
        <f t="shared" si="48"/>
        <v>20.645735002185884</v>
      </c>
      <c r="AM97" s="256">
        <f t="shared" si="48"/>
        <v>73.053751192764963</v>
      </c>
      <c r="AN97" s="282">
        <f t="shared" si="44"/>
        <v>0</v>
      </c>
      <c r="AO97" s="279">
        <f t="shared" si="46"/>
        <v>643.17811500792379</v>
      </c>
      <c r="AQ97" s="480">
        <v>2018</v>
      </c>
      <c r="AR97" s="480">
        <v>-6.24</v>
      </c>
      <c r="AS97" s="480">
        <v>1.86</v>
      </c>
      <c r="AT97" s="480">
        <v>-4.38</v>
      </c>
    </row>
    <row r="98" spans="27:46" ht="15" customHeight="1">
      <c r="AA98" s="295">
        <v>2019</v>
      </c>
      <c r="AB98" s="296">
        <f t="shared" si="51"/>
        <v>0.13464119171003808</v>
      </c>
      <c r="AC98" s="296">
        <f t="shared" si="49"/>
        <v>6.0101408370153653E-2</v>
      </c>
      <c r="AD98" s="303">
        <f t="shared" si="47"/>
        <v>8.6049157925802477E-2</v>
      </c>
      <c r="AE98" s="302">
        <f t="shared" si="50"/>
        <v>7.0792834452217512E-2</v>
      </c>
      <c r="AF98" s="288"/>
      <c r="AG98" s="271">
        <v>2019</v>
      </c>
      <c r="AH98" s="272">
        <v>0.31490000000000001</v>
      </c>
      <c r="AI98" s="261">
        <v>9.64E-2</v>
      </c>
      <c r="AJ98" s="268">
        <v>1.55E-2</v>
      </c>
      <c r="AK98" s="256">
        <f t="shared" si="48"/>
        <v>5034.0730887140544</v>
      </c>
      <c r="AL98" s="256">
        <f t="shared" si="48"/>
        <v>22.635983856396603</v>
      </c>
      <c r="AM98" s="256">
        <f t="shared" si="48"/>
        <v>74.186084336252819</v>
      </c>
      <c r="AN98" s="282">
        <f t="shared" si="44"/>
        <v>0.12</v>
      </c>
      <c r="AO98" s="279">
        <f t="shared" si="46"/>
        <v>720.35948880887474</v>
      </c>
      <c r="AQ98" s="480">
        <v>2019</v>
      </c>
      <c r="AR98" s="480">
        <v>28.88</v>
      </c>
      <c r="AS98" s="480">
        <v>2.61</v>
      </c>
      <c r="AT98" s="480">
        <v>31.49</v>
      </c>
    </row>
    <row r="99" spans="27:46" ht="15" customHeight="1" thickBot="1">
      <c r="AA99" s="297">
        <v>2020</v>
      </c>
      <c r="AB99" s="298"/>
      <c r="AC99" s="299"/>
      <c r="AD99" s="300"/>
      <c r="AE99" s="301"/>
      <c r="AF99" s="288"/>
      <c r="AG99" s="271">
        <v>2020</v>
      </c>
      <c r="AH99" s="273">
        <v>0.184</v>
      </c>
      <c r="AI99" s="267"/>
      <c r="AJ99" s="269"/>
      <c r="AK99" s="256">
        <f t="shared" si="48"/>
        <v>5960.3425370374398</v>
      </c>
      <c r="AL99" s="243"/>
      <c r="AM99" s="243"/>
      <c r="AN99" s="283">
        <f t="shared" si="44"/>
        <v>0.12</v>
      </c>
      <c r="AO99" s="280"/>
      <c r="AQ99" s="480">
        <v>2020</v>
      </c>
      <c r="AR99" s="683">
        <v>16.260000000000002</v>
      </c>
      <c r="AS99" s="480">
        <v>2.14</v>
      </c>
      <c r="AT99" s="480">
        <v>18.399999999999999</v>
      </c>
    </row>
    <row r="100" spans="27:46" ht="15" customHeight="1">
      <c r="AD100" s="241"/>
      <c r="AG100" s="703"/>
      <c r="AH100" s="703"/>
      <c r="AI100" s="703"/>
      <c r="AJ100" s="703"/>
      <c r="AK100" s="703"/>
      <c r="AL100" s="703"/>
      <c r="AM100" s="703"/>
    </row>
    <row r="101" spans="27:46" ht="15" customHeight="1">
      <c r="AD101" s="241"/>
      <c r="AG101" s="703"/>
      <c r="AH101" s="703"/>
      <c r="AI101" s="703"/>
      <c r="AJ101" s="703"/>
      <c r="AK101" s="703"/>
      <c r="AL101" s="703"/>
      <c r="AM101" s="703"/>
    </row>
    <row r="102" spans="27:46" ht="15" customHeight="1">
      <c r="AD102" s="241"/>
      <c r="AG102" s="243"/>
      <c r="AH102" s="261"/>
      <c r="AI102" s="261"/>
      <c r="AJ102" s="261"/>
      <c r="AK102" s="243"/>
      <c r="AL102" s="243"/>
      <c r="AM102" s="243"/>
    </row>
    <row r="103" spans="27:46" ht="15" customHeight="1">
      <c r="AD103" s="241"/>
      <c r="AG103" s="243"/>
      <c r="AH103" s="261"/>
      <c r="AI103" s="270"/>
      <c r="AJ103" s="261"/>
      <c r="AK103" s="262"/>
      <c r="AL103" s="262"/>
      <c r="AM103" s="262"/>
    </row>
    <row r="104" spans="27:46" ht="15" customHeight="1">
      <c r="AG104" s="243"/>
      <c r="AH104" s="261"/>
      <c r="AI104" s="270"/>
      <c r="AJ104" s="261"/>
      <c r="AK104" s="262"/>
      <c r="AL104" s="262"/>
      <c r="AM104" s="262"/>
    </row>
    <row r="105" spans="27:46" ht="15" customHeight="1">
      <c r="AG105" s="243"/>
      <c r="AH105" s="703"/>
      <c r="AI105" s="703"/>
      <c r="AJ105" s="703"/>
      <c r="AK105" s="263"/>
      <c r="AL105" s="263"/>
      <c r="AM105" s="263"/>
    </row>
    <row r="106" spans="27:46" ht="15" customHeight="1">
      <c r="AG106" s="682" t="s">
        <v>3650</v>
      </c>
      <c r="AH106" s="261"/>
      <c r="AI106" s="261"/>
      <c r="AJ106" s="261"/>
      <c r="AK106" s="243"/>
      <c r="AL106" s="243"/>
      <c r="AM106" s="243"/>
    </row>
    <row r="107" spans="27:46" ht="15" customHeight="1">
      <c r="AB107" s="476" t="s">
        <v>3667</v>
      </c>
      <c r="AC107" s="476" t="s">
        <v>116</v>
      </c>
      <c r="AD107" s="477" t="s">
        <v>3668</v>
      </c>
      <c r="AE107" s="476" t="s">
        <v>3669</v>
      </c>
      <c r="AG107" s="243"/>
      <c r="AH107" s="261"/>
      <c r="AI107" s="261"/>
      <c r="AJ107" s="261"/>
      <c r="AK107" s="243"/>
      <c r="AL107" s="243"/>
      <c r="AM107" s="243"/>
    </row>
    <row r="108" spans="27:46" ht="15" customHeight="1">
      <c r="AA108" s="292" t="s">
        <v>97</v>
      </c>
      <c r="AB108" s="475">
        <f>MIN(AB16:AB100)</f>
        <v>-1.7790582246308362E-2</v>
      </c>
      <c r="AC108" s="475">
        <f>MIN(AC16:AC100)</f>
        <v>2.3699946401550154E-2</v>
      </c>
      <c r="AD108" s="475">
        <f>MIN(AD16:AD100)</f>
        <v>4.6374648548560771E-2</v>
      </c>
      <c r="AE108" s="475">
        <f>MIN(AE16:AE100)</f>
        <v>5.1941879518140111E-2</v>
      </c>
      <c r="AG108" s="243"/>
      <c r="AH108" s="261"/>
      <c r="AI108" s="261"/>
      <c r="AJ108" s="261"/>
      <c r="AK108" s="243"/>
      <c r="AL108" s="243"/>
      <c r="AM108" s="243"/>
    </row>
    <row r="109" spans="27:46" ht="15" customHeight="1">
      <c r="AA109" s="292" t="s">
        <v>3666</v>
      </c>
      <c r="AB109" s="475">
        <f>MEDIAN(AB16:AB100)</f>
        <v>0.10664191344274032</v>
      </c>
      <c r="AC109" s="475">
        <f>MEDIAN(AC16:AC100)</f>
        <v>0.11291530186203458</v>
      </c>
      <c r="AD109" s="475">
        <f t="shared" ref="AD109:AE109" si="52">MEDIAN(AD16:AD100)</f>
        <v>7.8437108315353443E-2</v>
      </c>
      <c r="AE109" s="475">
        <f t="shared" si="52"/>
        <v>7.6877634940309747E-2</v>
      </c>
      <c r="AG109" s="243"/>
      <c r="AH109" s="261"/>
      <c r="AI109" s="261"/>
      <c r="AJ109" s="261"/>
      <c r="AK109" s="243"/>
      <c r="AL109" s="243"/>
      <c r="AM109" s="243"/>
    </row>
    <row r="110" spans="27:46" ht="15" customHeight="1">
      <c r="AA110" s="292" t="s">
        <v>98</v>
      </c>
      <c r="AB110" s="475">
        <f>MAX(AB16:AB100)</f>
        <v>0.21484452249525332</v>
      </c>
      <c r="AC110" s="475">
        <f>MAX(AC16:AC100)</f>
        <v>0.17695698088687206</v>
      </c>
      <c r="AD110" s="475">
        <f>MAX(AD16:AD100)</f>
        <v>9.5209714063734907E-2</v>
      </c>
      <c r="AE110" s="475">
        <f>MAX(AE16:AE100)</f>
        <v>9.2529234551215866E-2</v>
      </c>
    </row>
  </sheetData>
  <mergeCells count="17">
    <mergeCell ref="AN4:AO5"/>
    <mergeCell ref="AB4:AE4"/>
    <mergeCell ref="AB5:AC5"/>
    <mergeCell ref="AD5:AE5"/>
    <mergeCell ref="AG100:AM101"/>
    <mergeCell ref="AK4:AM4"/>
    <mergeCell ref="E4:G4"/>
    <mergeCell ref="AH105:AJ105"/>
    <mergeCell ref="H4:K4"/>
    <mergeCell ref="AH4:AJ5"/>
    <mergeCell ref="AG4:AG6"/>
    <mergeCell ref="AA4:AA6"/>
    <mergeCell ref="T4:V4"/>
    <mergeCell ref="V5:V6"/>
    <mergeCell ref="W5:W6"/>
    <mergeCell ref="X4:Y4"/>
    <mergeCell ref="S4:S5"/>
  </mergeCells>
  <hyperlinks>
    <hyperlink ref="AG106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144"/>
  <sheetViews>
    <sheetView workbookViewId="0">
      <selection activeCell="R3" sqref="R3"/>
    </sheetView>
  </sheetViews>
  <sheetFormatPr defaultRowHeight="13.2"/>
  <cols>
    <col min="1" max="1" width="9.109375" style="516"/>
    <col min="2" max="2" width="6.6640625" style="516" customWidth="1"/>
    <col min="3" max="3" width="11.33203125" style="516" customWidth="1"/>
    <col min="4" max="4" width="10.33203125" style="516" customWidth="1"/>
    <col min="5" max="5" width="11.33203125" style="516" customWidth="1"/>
    <col min="6" max="6" width="11.44140625" style="516" customWidth="1"/>
    <col min="7" max="7" width="11.6640625" style="516" customWidth="1"/>
    <col min="8" max="8" width="9.77734375" style="516" customWidth="1"/>
    <col min="9" max="9" width="10" style="516" customWidth="1"/>
    <col min="10" max="10" width="12.6640625" style="516" customWidth="1"/>
    <col min="11" max="11" width="14.6640625" style="516" customWidth="1"/>
    <col min="12" max="12" width="13.88671875" style="516" customWidth="1"/>
    <col min="13" max="13" width="13" style="516" customWidth="1"/>
    <col min="14" max="14" width="3.44140625" customWidth="1"/>
    <col min="15" max="15" width="10.109375" style="488" customWidth="1"/>
    <col min="17" max="17" width="10.109375" style="79" customWidth="1"/>
    <col min="18" max="18" width="10.88671875" style="79" customWidth="1"/>
    <col min="19" max="19" width="1.6640625" style="340" customWidth="1"/>
    <col min="20" max="20" width="6.109375" style="507" customWidth="1"/>
    <col min="21" max="21" width="6.33203125" style="507" customWidth="1"/>
    <col min="22" max="22" width="9.44140625" style="507" customWidth="1"/>
    <col min="23" max="23" width="8.6640625" style="507" customWidth="1"/>
    <col min="24" max="24" width="10.109375" style="507" customWidth="1"/>
    <col min="25" max="25" width="11" style="507" customWidth="1"/>
    <col min="26" max="26" width="9.88671875" style="507" customWidth="1"/>
    <col min="27" max="27" width="7.77734375" style="507" customWidth="1"/>
    <col min="28" max="28" width="7.6640625" style="507" customWidth="1"/>
    <col min="29" max="29" width="11.88671875" style="507" customWidth="1"/>
    <col min="30" max="31" width="13.77734375" style="507" customWidth="1"/>
    <col min="32" max="32" width="15.21875" style="507" customWidth="1"/>
    <col min="33" max="33" width="0.88671875" style="338" customWidth="1"/>
    <col min="34" max="34" width="8.6640625" customWidth="1"/>
    <col min="35" max="35" width="10.5546875" customWidth="1"/>
    <col min="36" max="36" width="10.109375" customWidth="1"/>
    <col min="37" max="37" width="10.44140625" customWidth="1"/>
    <col min="38" max="38" width="12.5546875" customWidth="1"/>
    <col min="39" max="39" width="11.77734375" customWidth="1"/>
    <col min="40" max="40" width="13.109375" customWidth="1"/>
    <col min="41" max="41" width="15.6640625" customWidth="1"/>
    <col min="42" max="42" width="12.88671875" bestFit="1" customWidth="1"/>
    <col min="43" max="43" width="12.44140625" bestFit="1" customWidth="1"/>
  </cols>
  <sheetData>
    <row r="1" spans="1:41" ht="13.8" thickBot="1">
      <c r="V1" s="737" t="s">
        <v>3680</v>
      </c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H1" s="735" t="s">
        <v>3675</v>
      </c>
      <c r="AI1" s="736"/>
      <c r="AJ1" s="735">
        <v>529</v>
      </c>
      <c r="AK1" s="736"/>
      <c r="AL1" s="735" t="s">
        <v>3676</v>
      </c>
      <c r="AM1" s="736"/>
    </row>
    <row r="2" spans="1:41" s="220" customFormat="1" ht="14.4" thickBot="1">
      <c r="A2" s="516" t="s">
        <v>3597</v>
      </c>
      <c r="B2" s="516" t="s">
        <v>5</v>
      </c>
      <c r="C2" s="516" t="s">
        <v>3571</v>
      </c>
      <c r="D2" s="517">
        <v>0.04</v>
      </c>
      <c r="E2" s="516" t="s">
        <v>3574</v>
      </c>
      <c r="F2" s="516" t="s">
        <v>3598</v>
      </c>
      <c r="G2" s="516" t="s">
        <v>3599</v>
      </c>
      <c r="H2" s="516" t="s">
        <v>3573</v>
      </c>
      <c r="I2" s="516" t="s">
        <v>3596</v>
      </c>
      <c r="J2" s="516" t="s">
        <v>3601</v>
      </c>
      <c r="K2" s="516" t="s">
        <v>3600</v>
      </c>
      <c r="L2" s="516" t="s">
        <v>3602</v>
      </c>
      <c r="M2" s="518" t="s">
        <v>3603</v>
      </c>
      <c r="O2" s="486" t="s">
        <v>3615</v>
      </c>
      <c r="P2" s="220" t="s">
        <v>3616</v>
      </c>
      <c r="Q2" s="341" t="s">
        <v>3684</v>
      </c>
      <c r="R2" s="341" t="s">
        <v>3679</v>
      </c>
      <c r="S2" s="339"/>
      <c r="T2" s="547" t="s">
        <v>3597</v>
      </c>
      <c r="U2" s="537" t="s">
        <v>5</v>
      </c>
      <c r="V2" s="537" t="s">
        <v>3571</v>
      </c>
      <c r="W2" s="538">
        <v>-0.04</v>
      </c>
      <c r="X2" s="537" t="s">
        <v>3574</v>
      </c>
      <c r="Y2" s="537" t="s">
        <v>3665</v>
      </c>
      <c r="Z2" s="537" t="s">
        <v>3599</v>
      </c>
      <c r="AA2" s="537" t="s">
        <v>3573</v>
      </c>
      <c r="AB2" s="539" t="s">
        <v>3596</v>
      </c>
      <c r="AC2" s="537" t="s">
        <v>3674</v>
      </c>
      <c r="AD2" s="537" t="s">
        <v>93</v>
      </c>
      <c r="AE2" s="537" t="s">
        <v>3602</v>
      </c>
      <c r="AF2" s="539" t="s">
        <v>3603</v>
      </c>
      <c r="AG2" s="338"/>
      <c r="AH2" s="508">
        <v>0.01</v>
      </c>
      <c r="AI2" s="337">
        <v>0</v>
      </c>
      <c r="AJ2" s="509">
        <v>7.6999999999999999E-2</v>
      </c>
      <c r="AK2" s="337" t="s">
        <v>93</v>
      </c>
      <c r="AL2" s="510">
        <f>AJ2</f>
        <v>7.6999999999999999E-2</v>
      </c>
      <c r="AM2" s="337" t="s">
        <v>93</v>
      </c>
      <c r="AN2" s="305"/>
      <c r="AO2" s="305"/>
    </row>
    <row r="3" spans="1:41" ht="13.8" thickBot="1">
      <c r="A3" s="533">
        <v>36</v>
      </c>
      <c r="B3" s="533">
        <v>1</v>
      </c>
      <c r="C3" s="533">
        <v>24000</v>
      </c>
      <c r="D3" s="534">
        <v>960</v>
      </c>
      <c r="E3" s="534">
        <v>118</v>
      </c>
      <c r="F3" s="534">
        <v>156</v>
      </c>
      <c r="G3" s="534">
        <v>2760</v>
      </c>
      <c r="H3" s="534">
        <v>0</v>
      </c>
      <c r="I3" s="534">
        <v>120</v>
      </c>
      <c r="J3" s="534">
        <v>1640</v>
      </c>
      <c r="K3" s="534">
        <v>21526</v>
      </c>
      <c r="L3" s="534">
        <v>1000000</v>
      </c>
      <c r="M3" s="534">
        <v>1021526</v>
      </c>
      <c r="O3" s="487">
        <f>SUM(D3:I3)</f>
        <v>4114</v>
      </c>
      <c r="P3" s="82">
        <f t="shared" ref="P3:P34" si="0">O3/K3</f>
        <v>0.19111771810833411</v>
      </c>
      <c r="Q3" s="474">
        <f>O3-F3</f>
        <v>3958</v>
      </c>
      <c r="R3" s="474">
        <f>Q3</f>
        <v>3958</v>
      </c>
      <c r="T3" s="548">
        <v>36</v>
      </c>
      <c r="U3" s="522">
        <v>1</v>
      </c>
      <c r="V3" s="522">
        <v>24000</v>
      </c>
      <c r="W3" s="523">
        <v>960</v>
      </c>
      <c r="X3" s="523">
        <v>118</v>
      </c>
      <c r="Y3" s="523">
        <v>156</v>
      </c>
      <c r="Z3" s="523">
        <v>2760</v>
      </c>
      <c r="AA3" s="523">
        <v>0</v>
      </c>
      <c r="AB3" s="523">
        <v>120</v>
      </c>
      <c r="AC3" s="523">
        <v>1640</v>
      </c>
      <c r="AD3" s="523">
        <v>21526</v>
      </c>
      <c r="AE3" s="523">
        <v>1000000</v>
      </c>
      <c r="AF3" s="523">
        <v>1021526</v>
      </c>
      <c r="AH3" s="31">
        <f>V3</f>
        <v>24000</v>
      </c>
      <c r="AI3" s="316">
        <f>(AI2+AH3)*(1+AH$2)</f>
        <v>24240</v>
      </c>
      <c r="AJ3" s="317"/>
      <c r="AK3" s="313"/>
      <c r="AL3" s="315"/>
      <c r="AM3" s="314"/>
      <c r="AN3" s="1"/>
      <c r="AO3" s="1"/>
    </row>
    <row r="4" spans="1:41" ht="13.8" thickBot="1">
      <c r="A4" s="535">
        <v>37</v>
      </c>
      <c r="B4" s="535">
        <v>2</v>
      </c>
      <c r="C4" s="535">
        <v>24000</v>
      </c>
      <c r="D4" s="536">
        <v>960</v>
      </c>
      <c r="E4" s="536">
        <v>169</v>
      </c>
      <c r="F4" s="536">
        <v>311</v>
      </c>
      <c r="G4" s="536">
        <v>2760</v>
      </c>
      <c r="H4" s="536">
        <v>0</v>
      </c>
      <c r="I4" s="536">
        <v>120</v>
      </c>
      <c r="J4" s="536">
        <v>3290</v>
      </c>
      <c r="K4" s="536">
        <v>44495</v>
      </c>
      <c r="L4" s="536">
        <v>1000000</v>
      </c>
      <c r="M4" s="536">
        <v>1044495</v>
      </c>
      <c r="O4" s="487">
        <f t="shared" ref="O4:O67" si="1">SUM(D4:I4)</f>
        <v>4320</v>
      </c>
      <c r="P4" s="82">
        <f t="shared" si="0"/>
        <v>9.7089560624789309E-2</v>
      </c>
      <c r="Q4" s="474">
        <f t="shared" ref="Q4:Q34" si="2">O4-F4</f>
        <v>4009</v>
      </c>
      <c r="R4" s="474">
        <f>Q4+R3</f>
        <v>7967</v>
      </c>
      <c r="T4" s="549">
        <v>37</v>
      </c>
      <c r="U4" s="524">
        <v>2</v>
      </c>
      <c r="V4" s="524">
        <v>24000</v>
      </c>
      <c r="W4" s="525">
        <v>960</v>
      </c>
      <c r="X4" s="525">
        <v>169</v>
      </c>
      <c r="Y4" s="525">
        <v>311</v>
      </c>
      <c r="Z4" s="525">
        <v>2760</v>
      </c>
      <c r="AA4" s="525">
        <v>0</v>
      </c>
      <c r="AB4" s="525">
        <v>120</v>
      </c>
      <c r="AC4" s="525">
        <v>3290</v>
      </c>
      <c r="AD4" s="525">
        <v>44495</v>
      </c>
      <c r="AE4" s="525">
        <v>1000000</v>
      </c>
      <c r="AF4" s="525">
        <v>1044495</v>
      </c>
      <c r="AH4" s="31">
        <f t="shared" ref="AH4:AH10" si="3">V4</f>
        <v>24000</v>
      </c>
      <c r="AI4" s="316">
        <f t="shared" ref="AI4:AI32" si="4">(AI3+AH4)*(1+AH$2)</f>
        <v>48722.400000000001</v>
      </c>
      <c r="AJ4" s="318"/>
      <c r="AK4" s="1"/>
      <c r="AL4" s="6"/>
      <c r="AM4" s="7"/>
      <c r="AN4" s="1"/>
      <c r="AO4" s="1"/>
    </row>
    <row r="5" spans="1:41" ht="13.8" thickBot="1">
      <c r="A5" s="533">
        <v>38</v>
      </c>
      <c r="B5" s="533">
        <v>3</v>
      </c>
      <c r="C5" s="533">
        <v>24000</v>
      </c>
      <c r="D5" s="534">
        <v>960</v>
      </c>
      <c r="E5" s="534">
        <v>316</v>
      </c>
      <c r="F5" s="534">
        <v>476</v>
      </c>
      <c r="G5" s="534">
        <v>2760</v>
      </c>
      <c r="H5" s="534">
        <v>0</v>
      </c>
      <c r="I5" s="534">
        <v>120</v>
      </c>
      <c r="J5" s="534">
        <v>5047</v>
      </c>
      <c r="K5" s="534">
        <v>68910</v>
      </c>
      <c r="L5" s="534">
        <v>1000000</v>
      </c>
      <c r="M5" s="534">
        <v>1068910</v>
      </c>
      <c r="O5" s="487">
        <f t="shared" si="1"/>
        <v>4632</v>
      </c>
      <c r="P5" s="82">
        <f t="shared" si="0"/>
        <v>6.721811057901611E-2</v>
      </c>
      <c r="Q5" s="474">
        <f t="shared" si="2"/>
        <v>4156</v>
      </c>
      <c r="R5" s="474">
        <f t="shared" ref="R5:R67" si="5">Q5+R4</f>
        <v>12123</v>
      </c>
      <c r="T5" s="548">
        <v>38</v>
      </c>
      <c r="U5" s="522">
        <v>3</v>
      </c>
      <c r="V5" s="522">
        <v>24000</v>
      </c>
      <c r="W5" s="523">
        <v>960</v>
      </c>
      <c r="X5" s="523">
        <v>316</v>
      </c>
      <c r="Y5" s="523">
        <v>476</v>
      </c>
      <c r="Z5" s="523">
        <v>2760</v>
      </c>
      <c r="AA5" s="523">
        <v>0</v>
      </c>
      <c r="AB5" s="523">
        <v>120</v>
      </c>
      <c r="AC5" s="523">
        <v>5047</v>
      </c>
      <c r="AD5" s="523">
        <v>68910</v>
      </c>
      <c r="AE5" s="523">
        <v>1000000</v>
      </c>
      <c r="AF5" s="523">
        <v>1068910</v>
      </c>
      <c r="AH5" s="31">
        <f t="shared" si="3"/>
        <v>24000</v>
      </c>
      <c r="AI5" s="316">
        <f t="shared" si="4"/>
        <v>73449.623999999996</v>
      </c>
      <c r="AJ5" s="318"/>
      <c r="AK5" s="1"/>
      <c r="AL5" s="6"/>
      <c r="AM5" s="7"/>
      <c r="AN5" s="1"/>
      <c r="AO5" s="1"/>
    </row>
    <row r="6" spans="1:41" ht="13.8" thickBot="1">
      <c r="A6" s="535">
        <v>39</v>
      </c>
      <c r="B6" s="535">
        <v>4</v>
      </c>
      <c r="C6" s="535">
        <v>24000</v>
      </c>
      <c r="D6" s="536">
        <v>960</v>
      </c>
      <c r="E6" s="536">
        <v>364</v>
      </c>
      <c r="F6" s="536">
        <v>652</v>
      </c>
      <c r="G6" s="536">
        <v>2760</v>
      </c>
      <c r="H6" s="536">
        <v>0</v>
      </c>
      <c r="I6" s="536">
        <v>120</v>
      </c>
      <c r="J6" s="536">
        <v>6918</v>
      </c>
      <c r="K6" s="536">
        <v>94972</v>
      </c>
      <c r="L6" s="536">
        <v>1000000</v>
      </c>
      <c r="M6" s="536">
        <v>1094972</v>
      </c>
      <c r="O6" s="487">
        <f t="shared" si="1"/>
        <v>4856</v>
      </c>
      <c r="P6" s="82">
        <f t="shared" si="0"/>
        <v>5.1130859621783264E-2</v>
      </c>
      <c r="Q6" s="474">
        <f t="shared" si="2"/>
        <v>4204</v>
      </c>
      <c r="R6" s="474">
        <f t="shared" si="5"/>
        <v>16327</v>
      </c>
      <c r="T6" s="549">
        <v>39</v>
      </c>
      <c r="U6" s="524">
        <v>4</v>
      </c>
      <c r="V6" s="524">
        <v>24000</v>
      </c>
      <c r="W6" s="525">
        <v>960</v>
      </c>
      <c r="X6" s="525">
        <v>364</v>
      </c>
      <c r="Y6" s="525">
        <v>652</v>
      </c>
      <c r="Z6" s="525">
        <v>2760</v>
      </c>
      <c r="AA6" s="525">
        <v>0</v>
      </c>
      <c r="AB6" s="525">
        <v>120</v>
      </c>
      <c r="AC6" s="525">
        <v>6918</v>
      </c>
      <c r="AD6" s="525">
        <v>94972</v>
      </c>
      <c r="AE6" s="525">
        <v>1000000</v>
      </c>
      <c r="AF6" s="525">
        <v>1094972</v>
      </c>
      <c r="AH6" s="31">
        <f t="shared" si="3"/>
        <v>24000</v>
      </c>
      <c r="AI6" s="316">
        <f t="shared" si="4"/>
        <v>98424.120240000004</v>
      </c>
      <c r="AJ6" s="318"/>
      <c r="AK6" s="1"/>
      <c r="AL6" s="6"/>
      <c r="AM6" s="7"/>
      <c r="AN6" s="1"/>
      <c r="AO6" s="1"/>
    </row>
    <row r="7" spans="1:41" ht="13.8" thickBot="1">
      <c r="A7" s="533">
        <v>40</v>
      </c>
      <c r="B7" s="533">
        <v>5</v>
      </c>
      <c r="C7" s="533">
        <v>24000</v>
      </c>
      <c r="D7" s="534">
        <v>960</v>
      </c>
      <c r="E7" s="534">
        <v>371</v>
      </c>
      <c r="F7" s="534">
        <v>839</v>
      </c>
      <c r="G7" s="534">
        <v>2760</v>
      </c>
      <c r="H7" s="534">
        <v>0</v>
      </c>
      <c r="I7" s="534">
        <v>120</v>
      </c>
      <c r="J7" s="534">
        <v>8917</v>
      </c>
      <c r="K7" s="534">
        <v>122839</v>
      </c>
      <c r="L7" s="534">
        <v>1000000</v>
      </c>
      <c r="M7" s="534">
        <v>1122839</v>
      </c>
      <c r="O7" s="487">
        <f t="shared" si="1"/>
        <v>5050</v>
      </c>
      <c r="P7" s="82">
        <f t="shared" si="0"/>
        <v>4.1110722164784799E-2</v>
      </c>
      <c r="Q7" s="474">
        <f t="shared" si="2"/>
        <v>4211</v>
      </c>
      <c r="R7" s="474">
        <f t="shared" si="5"/>
        <v>20538</v>
      </c>
      <c r="T7" s="548">
        <v>40</v>
      </c>
      <c r="U7" s="522">
        <v>5</v>
      </c>
      <c r="V7" s="522">
        <v>24000</v>
      </c>
      <c r="W7" s="523">
        <v>960</v>
      </c>
      <c r="X7" s="523">
        <v>371</v>
      </c>
      <c r="Y7" s="523">
        <v>839</v>
      </c>
      <c r="Z7" s="523">
        <v>2760</v>
      </c>
      <c r="AA7" s="523">
        <v>0</v>
      </c>
      <c r="AB7" s="523">
        <v>120</v>
      </c>
      <c r="AC7" s="523">
        <v>8917</v>
      </c>
      <c r="AD7" s="523">
        <v>122839</v>
      </c>
      <c r="AE7" s="523">
        <v>1000000</v>
      </c>
      <c r="AF7" s="523">
        <v>1122839</v>
      </c>
      <c r="AH7" s="31">
        <f t="shared" si="3"/>
        <v>24000</v>
      </c>
      <c r="AI7" s="316">
        <f t="shared" si="4"/>
        <v>123648.36144240001</v>
      </c>
      <c r="AJ7" s="318"/>
      <c r="AK7" s="1"/>
      <c r="AL7" s="6"/>
      <c r="AM7" s="7"/>
      <c r="AN7" s="1"/>
      <c r="AO7" s="1"/>
    </row>
    <row r="8" spans="1:41" ht="13.8" thickBot="1">
      <c r="A8" s="535">
        <v>41</v>
      </c>
      <c r="B8" s="535">
        <v>6</v>
      </c>
      <c r="C8" s="535">
        <v>24000</v>
      </c>
      <c r="D8" s="536">
        <v>960</v>
      </c>
      <c r="E8" s="536">
        <v>399</v>
      </c>
      <c r="F8" s="536">
        <v>1040</v>
      </c>
      <c r="G8" s="536">
        <v>2760</v>
      </c>
      <c r="H8" s="536">
        <v>0</v>
      </c>
      <c r="I8" s="536">
        <v>120</v>
      </c>
      <c r="J8" s="536">
        <v>11055</v>
      </c>
      <c r="K8" s="536">
        <v>152614</v>
      </c>
      <c r="L8" s="536">
        <v>1000000</v>
      </c>
      <c r="M8" s="536">
        <v>1152614</v>
      </c>
      <c r="O8" s="487">
        <f t="shared" si="1"/>
        <v>5279</v>
      </c>
      <c r="P8" s="82">
        <f t="shared" si="0"/>
        <v>3.4590535599617334E-2</v>
      </c>
      <c r="Q8" s="474">
        <f t="shared" si="2"/>
        <v>4239</v>
      </c>
      <c r="R8" s="474">
        <f t="shared" si="5"/>
        <v>24777</v>
      </c>
      <c r="T8" s="549">
        <v>41</v>
      </c>
      <c r="U8" s="524">
        <v>6</v>
      </c>
      <c r="V8" s="524">
        <v>24000</v>
      </c>
      <c r="W8" s="525">
        <v>960</v>
      </c>
      <c r="X8" s="525">
        <v>399</v>
      </c>
      <c r="Y8" s="525">
        <v>1040</v>
      </c>
      <c r="Z8" s="525">
        <v>2760</v>
      </c>
      <c r="AA8" s="525">
        <v>0</v>
      </c>
      <c r="AB8" s="525">
        <v>120</v>
      </c>
      <c r="AC8" s="525">
        <v>11055</v>
      </c>
      <c r="AD8" s="525">
        <v>152614</v>
      </c>
      <c r="AE8" s="525">
        <v>1000000</v>
      </c>
      <c r="AF8" s="525">
        <v>1152614</v>
      </c>
      <c r="AH8" s="31">
        <f t="shared" si="3"/>
        <v>24000</v>
      </c>
      <c r="AI8" s="316">
        <f t="shared" si="4"/>
        <v>149124.84505682404</v>
      </c>
      <c r="AJ8" s="318"/>
      <c r="AK8" s="1"/>
      <c r="AL8" s="331"/>
      <c r="AM8" s="7"/>
    </row>
    <row r="9" spans="1:41" ht="13.8" thickBot="1">
      <c r="A9" s="533">
        <v>42</v>
      </c>
      <c r="B9" s="533">
        <v>7</v>
      </c>
      <c r="C9" s="533">
        <v>24000</v>
      </c>
      <c r="D9" s="534">
        <v>960</v>
      </c>
      <c r="E9" s="534">
        <v>434</v>
      </c>
      <c r="F9" s="534">
        <v>1255</v>
      </c>
      <c r="G9" s="534">
        <v>2760</v>
      </c>
      <c r="H9" s="534">
        <v>0</v>
      </c>
      <c r="I9" s="534">
        <v>120</v>
      </c>
      <c r="J9" s="534">
        <v>13338</v>
      </c>
      <c r="K9" s="534">
        <v>184424</v>
      </c>
      <c r="L9" s="534">
        <v>1000000</v>
      </c>
      <c r="M9" s="534">
        <v>1184424</v>
      </c>
      <c r="O9" s="487">
        <f t="shared" si="1"/>
        <v>5529</v>
      </c>
      <c r="P9" s="82">
        <f t="shared" si="0"/>
        <v>2.9979829089489436E-2</v>
      </c>
      <c r="Q9" s="474">
        <f t="shared" si="2"/>
        <v>4274</v>
      </c>
      <c r="R9" s="474">
        <f t="shared" si="5"/>
        <v>29051</v>
      </c>
      <c r="T9" s="548">
        <v>42</v>
      </c>
      <c r="U9" s="522">
        <v>7</v>
      </c>
      <c r="V9" s="522">
        <v>24000</v>
      </c>
      <c r="W9" s="523">
        <v>960</v>
      </c>
      <c r="X9" s="523">
        <v>434</v>
      </c>
      <c r="Y9" s="523">
        <v>1255</v>
      </c>
      <c r="Z9" s="523">
        <v>2760</v>
      </c>
      <c r="AA9" s="523">
        <v>0</v>
      </c>
      <c r="AB9" s="523">
        <v>120</v>
      </c>
      <c r="AC9" s="523">
        <v>13338</v>
      </c>
      <c r="AD9" s="523">
        <v>184424</v>
      </c>
      <c r="AE9" s="523">
        <v>1000000</v>
      </c>
      <c r="AF9" s="523">
        <v>1184424</v>
      </c>
      <c r="AH9" s="31">
        <f t="shared" si="3"/>
        <v>24000</v>
      </c>
      <c r="AI9" s="316">
        <f t="shared" si="4"/>
        <v>174856.09350739227</v>
      </c>
      <c r="AJ9" s="318"/>
      <c r="AK9" s="1"/>
      <c r="AL9" s="6"/>
      <c r="AM9" s="7"/>
      <c r="AN9" s="1"/>
      <c r="AO9" s="1"/>
    </row>
    <row r="10" spans="1:41" ht="13.8" thickBot="1">
      <c r="A10" s="535">
        <v>43</v>
      </c>
      <c r="B10" s="535">
        <v>8</v>
      </c>
      <c r="C10" s="535">
        <v>24000</v>
      </c>
      <c r="D10" s="536">
        <v>960</v>
      </c>
      <c r="E10" s="536">
        <v>485</v>
      </c>
      <c r="F10" s="536">
        <v>1484</v>
      </c>
      <c r="G10" s="536">
        <v>2760</v>
      </c>
      <c r="H10" s="536">
        <v>0</v>
      </c>
      <c r="I10" s="536">
        <v>120</v>
      </c>
      <c r="J10" s="536">
        <v>15777</v>
      </c>
      <c r="K10" s="536">
        <v>218392</v>
      </c>
      <c r="L10" s="536">
        <v>1000000</v>
      </c>
      <c r="M10" s="536">
        <v>1218392</v>
      </c>
      <c r="O10" s="487">
        <f t="shared" si="1"/>
        <v>5809</v>
      </c>
      <c r="P10" s="82">
        <f t="shared" si="0"/>
        <v>2.659895966885234E-2</v>
      </c>
      <c r="Q10" s="474">
        <f t="shared" si="2"/>
        <v>4325</v>
      </c>
      <c r="R10" s="474">
        <f t="shared" si="5"/>
        <v>33376</v>
      </c>
      <c r="T10" s="549">
        <v>43</v>
      </c>
      <c r="U10" s="524">
        <v>8</v>
      </c>
      <c r="V10" s="541">
        <v>-80025</v>
      </c>
      <c r="W10" s="525">
        <v>0</v>
      </c>
      <c r="X10" s="525">
        <v>485</v>
      </c>
      <c r="Y10" s="525">
        <v>741</v>
      </c>
      <c r="Z10" s="525">
        <v>2760</v>
      </c>
      <c r="AA10" s="525">
        <v>0</v>
      </c>
      <c r="AB10" s="525">
        <v>120</v>
      </c>
      <c r="AC10" s="525">
        <v>7933</v>
      </c>
      <c r="AD10" s="525">
        <v>108225</v>
      </c>
      <c r="AE10" s="525">
        <v>1000000</v>
      </c>
      <c r="AF10" s="525">
        <v>1108225</v>
      </c>
      <c r="AG10" s="502"/>
      <c r="AH10" s="503">
        <f t="shared" si="3"/>
        <v>-80025</v>
      </c>
      <c r="AI10" s="316">
        <f t="shared" si="4"/>
        <v>95779.404442466199</v>
      </c>
      <c r="AJ10" s="333" t="s">
        <v>3618</v>
      </c>
      <c r="AK10" s="333">
        <v>0</v>
      </c>
      <c r="AL10" s="332" t="s">
        <v>3618</v>
      </c>
      <c r="AM10" s="334">
        <v>0</v>
      </c>
    </row>
    <row r="11" spans="1:41" ht="13.8" thickBot="1">
      <c r="A11" s="533">
        <v>44</v>
      </c>
      <c r="B11" s="533">
        <v>9</v>
      </c>
      <c r="C11" s="533">
        <v>24000</v>
      </c>
      <c r="D11" s="534">
        <v>960</v>
      </c>
      <c r="E11" s="534">
        <v>540</v>
      </c>
      <c r="F11" s="534">
        <v>1728</v>
      </c>
      <c r="G11" s="534">
        <v>2760</v>
      </c>
      <c r="H11" s="534">
        <v>0</v>
      </c>
      <c r="I11" s="534">
        <v>120</v>
      </c>
      <c r="J11" s="534">
        <v>18381</v>
      </c>
      <c r="K11" s="534">
        <v>254664</v>
      </c>
      <c r="L11" s="534">
        <v>1000000</v>
      </c>
      <c r="M11" s="534">
        <v>1254664</v>
      </c>
      <c r="O11" s="487">
        <f t="shared" si="1"/>
        <v>6108</v>
      </c>
      <c r="P11" s="82">
        <f t="shared" si="0"/>
        <v>2.3984544340778437E-2</v>
      </c>
      <c r="Q11" s="474">
        <f t="shared" si="2"/>
        <v>4380</v>
      </c>
      <c r="R11" s="474">
        <f t="shared" si="5"/>
        <v>37756</v>
      </c>
      <c r="T11" s="548">
        <v>44</v>
      </c>
      <c r="U11" s="522">
        <v>9</v>
      </c>
      <c r="V11" s="522">
        <v>24000</v>
      </c>
      <c r="W11" s="523">
        <v>960</v>
      </c>
      <c r="X11" s="523">
        <v>540</v>
      </c>
      <c r="Y11" s="523">
        <v>934</v>
      </c>
      <c r="Z11" s="523">
        <v>2760</v>
      </c>
      <c r="AA11" s="523">
        <v>0</v>
      </c>
      <c r="AB11" s="523">
        <v>120</v>
      </c>
      <c r="AC11" s="523">
        <v>9928</v>
      </c>
      <c r="AD11" s="523">
        <v>136839</v>
      </c>
      <c r="AE11" s="523">
        <v>1000000</v>
      </c>
      <c r="AF11" s="523">
        <v>1136839</v>
      </c>
      <c r="AH11" s="6">
        <v>0</v>
      </c>
      <c r="AI11" s="316">
        <f t="shared" si="4"/>
        <v>96737.198486890862</v>
      </c>
      <c r="AJ11" s="335">
        <v>12000</v>
      </c>
      <c r="AK11" s="40">
        <f>(AK10+AJ11)*(1+IF(AJ11&gt;0,AJ$2,0))</f>
        <v>12924</v>
      </c>
      <c r="AL11" s="551">
        <f>V11-AJ11</f>
        <v>12000</v>
      </c>
      <c r="AM11" s="316">
        <f>(AM10+AL11)*(1+AL$2)</f>
        <v>12924</v>
      </c>
      <c r="AN11" s="318"/>
      <c r="AO11" s="318"/>
    </row>
    <row r="12" spans="1:41" ht="13.8" thickBot="1">
      <c r="A12" s="535">
        <v>45</v>
      </c>
      <c r="B12" s="535">
        <v>10</v>
      </c>
      <c r="C12" s="535">
        <v>24000</v>
      </c>
      <c r="D12" s="536">
        <v>960</v>
      </c>
      <c r="E12" s="536">
        <v>593</v>
      </c>
      <c r="F12" s="536">
        <v>1989</v>
      </c>
      <c r="G12" s="536">
        <v>2760</v>
      </c>
      <c r="H12" s="536">
        <v>0</v>
      </c>
      <c r="I12" s="536">
        <v>120</v>
      </c>
      <c r="J12" s="536">
        <v>21162</v>
      </c>
      <c r="K12" s="536">
        <v>293404</v>
      </c>
      <c r="L12" s="536">
        <v>1000000</v>
      </c>
      <c r="M12" s="536">
        <v>1293404</v>
      </c>
      <c r="O12" s="487">
        <f t="shared" si="1"/>
        <v>6422</v>
      </c>
      <c r="P12" s="82">
        <f t="shared" si="0"/>
        <v>2.1887908821965618E-2</v>
      </c>
      <c r="Q12" s="474">
        <f t="shared" si="2"/>
        <v>4433</v>
      </c>
      <c r="R12" s="474">
        <f t="shared" si="5"/>
        <v>42189</v>
      </c>
      <c r="T12" s="549">
        <v>45</v>
      </c>
      <c r="U12" s="524">
        <v>10</v>
      </c>
      <c r="V12" s="524">
        <v>24000</v>
      </c>
      <c r="W12" s="525">
        <v>960</v>
      </c>
      <c r="X12" s="525">
        <v>593</v>
      </c>
      <c r="Y12" s="525">
        <v>1140</v>
      </c>
      <c r="Z12" s="525">
        <v>2760</v>
      </c>
      <c r="AA12" s="525">
        <v>0</v>
      </c>
      <c r="AB12" s="525">
        <v>120</v>
      </c>
      <c r="AC12" s="525">
        <v>12121</v>
      </c>
      <c r="AD12" s="525">
        <v>167387</v>
      </c>
      <c r="AE12" s="525">
        <v>1000000</v>
      </c>
      <c r="AF12" s="525">
        <v>1167387</v>
      </c>
      <c r="AH12" s="315">
        <v>0</v>
      </c>
      <c r="AI12" s="316">
        <f t="shared" si="4"/>
        <v>97704.570471759769</v>
      </c>
      <c r="AJ12" s="335">
        <v>12000</v>
      </c>
      <c r="AK12" s="40">
        <f t="shared" ref="AK12:AK26" si="6">(AK11+AJ12)*(1+IF(AJ12&gt;0,AJ$2,0))</f>
        <v>26843.147999999997</v>
      </c>
      <c r="AL12" s="551">
        <f t="shared" ref="AL12:AL62" si="7">V12-AJ12</f>
        <v>12000</v>
      </c>
      <c r="AM12" s="316">
        <f t="shared" ref="AM12:AM62" si="8">(AM11+AL12)*(1+AL$2)</f>
        <v>26843.147999999997</v>
      </c>
      <c r="AN12" s="318"/>
      <c r="AO12" s="318"/>
    </row>
    <row r="13" spans="1:41" ht="13.8" thickBot="1">
      <c r="A13" s="533">
        <v>46</v>
      </c>
      <c r="B13" s="533">
        <v>11</v>
      </c>
      <c r="C13" s="533">
        <v>24000</v>
      </c>
      <c r="D13" s="534">
        <v>960</v>
      </c>
      <c r="E13" s="534">
        <v>641</v>
      </c>
      <c r="F13" s="534">
        <v>2277</v>
      </c>
      <c r="G13" s="534">
        <v>0</v>
      </c>
      <c r="H13" s="534">
        <v>0</v>
      </c>
      <c r="I13" s="534">
        <v>120</v>
      </c>
      <c r="J13" s="534">
        <v>24237</v>
      </c>
      <c r="K13" s="534">
        <v>337642</v>
      </c>
      <c r="L13" s="534">
        <v>1000000</v>
      </c>
      <c r="M13" s="534">
        <v>1337642</v>
      </c>
      <c r="O13" s="487">
        <f t="shared" si="1"/>
        <v>3998</v>
      </c>
      <c r="P13" s="82">
        <f t="shared" si="0"/>
        <v>1.1840943958393801E-2</v>
      </c>
      <c r="Q13" s="474">
        <f t="shared" si="2"/>
        <v>1721</v>
      </c>
      <c r="R13" s="474">
        <f t="shared" si="5"/>
        <v>43910</v>
      </c>
      <c r="T13" s="548">
        <v>46</v>
      </c>
      <c r="U13" s="522">
        <v>11</v>
      </c>
      <c r="V13" s="522">
        <v>24000</v>
      </c>
      <c r="W13" s="523">
        <v>960</v>
      </c>
      <c r="X13" s="523">
        <v>641</v>
      </c>
      <c r="Y13" s="523">
        <v>1369</v>
      </c>
      <c r="Z13" s="523">
        <v>0</v>
      </c>
      <c r="AA13" s="523">
        <v>0</v>
      </c>
      <c r="AB13" s="523">
        <v>120</v>
      </c>
      <c r="AC13" s="523">
        <v>14568</v>
      </c>
      <c r="AD13" s="523">
        <v>202865</v>
      </c>
      <c r="AE13" s="523">
        <v>1000000</v>
      </c>
      <c r="AF13" s="523">
        <v>1202865</v>
      </c>
      <c r="AH13" s="315">
        <v>0</v>
      </c>
      <c r="AI13" s="316">
        <f t="shared" si="4"/>
        <v>98681.616176477371</v>
      </c>
      <c r="AJ13" s="335">
        <v>12000</v>
      </c>
      <c r="AK13" s="40">
        <f t="shared" si="6"/>
        <v>41834.070396000003</v>
      </c>
      <c r="AL13" s="551">
        <f t="shared" si="7"/>
        <v>12000</v>
      </c>
      <c r="AM13" s="316">
        <f t="shared" si="8"/>
        <v>41834.070396000003</v>
      </c>
      <c r="AN13" s="318"/>
      <c r="AO13" s="318"/>
    </row>
    <row r="14" spans="1:41" ht="13.8" thickBot="1">
      <c r="A14" s="535">
        <v>47</v>
      </c>
      <c r="B14" s="535">
        <v>12</v>
      </c>
      <c r="C14" s="535">
        <v>24000</v>
      </c>
      <c r="D14" s="536">
        <v>960</v>
      </c>
      <c r="E14" s="536">
        <v>725</v>
      </c>
      <c r="F14" s="536">
        <v>2596</v>
      </c>
      <c r="G14" s="536">
        <v>0</v>
      </c>
      <c r="H14" s="536">
        <v>0</v>
      </c>
      <c r="I14" s="536">
        <v>120</v>
      </c>
      <c r="J14" s="536">
        <v>27628</v>
      </c>
      <c r="K14" s="536">
        <v>384868</v>
      </c>
      <c r="L14" s="536">
        <v>1000000</v>
      </c>
      <c r="M14" s="536">
        <v>1384868</v>
      </c>
      <c r="O14" s="487">
        <f t="shared" si="1"/>
        <v>4401</v>
      </c>
      <c r="P14" s="82">
        <f t="shared" si="0"/>
        <v>1.1435089433260234E-2</v>
      </c>
      <c r="Q14" s="474">
        <f t="shared" si="2"/>
        <v>1805</v>
      </c>
      <c r="R14" s="474">
        <f t="shared" si="5"/>
        <v>45715</v>
      </c>
      <c r="T14" s="549">
        <v>47</v>
      </c>
      <c r="U14" s="524">
        <v>12</v>
      </c>
      <c r="V14" s="524">
        <v>24000</v>
      </c>
      <c r="W14" s="525">
        <v>960</v>
      </c>
      <c r="X14" s="525">
        <v>725</v>
      </c>
      <c r="Y14" s="525">
        <v>1625</v>
      </c>
      <c r="Z14" s="525">
        <v>0</v>
      </c>
      <c r="AA14" s="525">
        <v>0</v>
      </c>
      <c r="AB14" s="525">
        <v>120</v>
      </c>
      <c r="AC14" s="525">
        <v>17287</v>
      </c>
      <c r="AD14" s="525">
        <v>240721</v>
      </c>
      <c r="AE14" s="525">
        <v>1000000</v>
      </c>
      <c r="AF14" s="525">
        <v>1240721</v>
      </c>
      <c r="AH14" s="315">
        <v>0</v>
      </c>
      <c r="AI14" s="316">
        <f t="shared" si="4"/>
        <v>99668.432338242143</v>
      </c>
      <c r="AJ14" s="335">
        <v>12000</v>
      </c>
      <c r="AK14" s="40">
        <f t="shared" si="6"/>
        <v>57979.293816491998</v>
      </c>
      <c r="AL14" s="551">
        <f t="shared" si="7"/>
        <v>12000</v>
      </c>
      <c r="AM14" s="316">
        <f t="shared" si="8"/>
        <v>57979.293816491998</v>
      </c>
      <c r="AN14" s="318"/>
      <c r="AO14" s="318"/>
    </row>
    <row r="15" spans="1:41" ht="13.8" thickBot="1">
      <c r="A15" s="533">
        <v>48</v>
      </c>
      <c r="B15" s="533">
        <v>13</v>
      </c>
      <c r="C15" s="533">
        <v>24000</v>
      </c>
      <c r="D15" s="534">
        <v>960</v>
      </c>
      <c r="E15" s="534">
        <v>808</v>
      </c>
      <c r="F15" s="534">
        <v>2936</v>
      </c>
      <c r="G15" s="534">
        <v>0</v>
      </c>
      <c r="H15" s="534">
        <v>0</v>
      </c>
      <c r="I15" s="534">
        <v>120</v>
      </c>
      <c r="J15" s="534">
        <v>31248</v>
      </c>
      <c r="K15" s="534">
        <v>435292</v>
      </c>
      <c r="L15" s="534">
        <v>1000000</v>
      </c>
      <c r="M15" s="534">
        <v>1435292</v>
      </c>
      <c r="O15" s="487">
        <f t="shared" si="1"/>
        <v>4824</v>
      </c>
      <c r="P15" s="82">
        <f t="shared" si="0"/>
        <v>1.1082216075645773E-2</v>
      </c>
      <c r="Q15" s="474">
        <f t="shared" si="2"/>
        <v>1888</v>
      </c>
      <c r="R15" s="474">
        <f t="shared" si="5"/>
        <v>47603</v>
      </c>
      <c r="T15" s="548">
        <v>48</v>
      </c>
      <c r="U15" s="522">
        <v>13</v>
      </c>
      <c r="V15" s="522">
        <v>24000</v>
      </c>
      <c r="W15" s="523">
        <v>960</v>
      </c>
      <c r="X15" s="523">
        <v>808</v>
      </c>
      <c r="Y15" s="523">
        <v>1897</v>
      </c>
      <c r="Z15" s="523">
        <v>0</v>
      </c>
      <c r="AA15" s="523">
        <v>0</v>
      </c>
      <c r="AB15" s="523">
        <v>120</v>
      </c>
      <c r="AC15" s="523">
        <v>20188</v>
      </c>
      <c r="AD15" s="523">
        <v>281123</v>
      </c>
      <c r="AE15" s="523">
        <v>1000000</v>
      </c>
      <c r="AF15" s="523">
        <v>1281123</v>
      </c>
      <c r="AH15" s="315">
        <v>0</v>
      </c>
      <c r="AI15" s="316">
        <f t="shared" si="4"/>
        <v>100665.11666162456</v>
      </c>
      <c r="AJ15" s="335">
        <v>12000</v>
      </c>
      <c r="AK15" s="40">
        <f t="shared" si="6"/>
        <v>75367.699440361874</v>
      </c>
      <c r="AL15" s="551">
        <f t="shared" si="7"/>
        <v>12000</v>
      </c>
      <c r="AM15" s="316">
        <f t="shared" si="8"/>
        <v>75367.699440361874</v>
      </c>
      <c r="AN15" s="318"/>
      <c r="AO15" s="318"/>
    </row>
    <row r="16" spans="1:41" ht="13.8" thickBot="1">
      <c r="A16" s="535">
        <v>49</v>
      </c>
      <c r="B16" s="535">
        <v>14</v>
      </c>
      <c r="C16" s="535">
        <v>24000</v>
      </c>
      <c r="D16" s="536">
        <v>960</v>
      </c>
      <c r="E16" s="536">
        <v>889</v>
      </c>
      <c r="F16" s="536">
        <v>3299</v>
      </c>
      <c r="G16" s="536">
        <v>0</v>
      </c>
      <c r="H16" s="536">
        <v>0</v>
      </c>
      <c r="I16" s="536">
        <v>120</v>
      </c>
      <c r="J16" s="536">
        <v>35114</v>
      </c>
      <c r="K16" s="536">
        <v>489138</v>
      </c>
      <c r="L16" s="536">
        <v>1000000</v>
      </c>
      <c r="M16" s="536">
        <v>1489138</v>
      </c>
      <c r="O16" s="487">
        <f t="shared" si="1"/>
        <v>5268</v>
      </c>
      <c r="P16" s="82">
        <f t="shared" si="0"/>
        <v>1.0769966757847478E-2</v>
      </c>
      <c r="Q16" s="474">
        <f t="shared" si="2"/>
        <v>1969</v>
      </c>
      <c r="R16" s="474">
        <f t="shared" si="5"/>
        <v>49572</v>
      </c>
      <c r="T16" s="549">
        <v>49</v>
      </c>
      <c r="U16" s="524">
        <v>14</v>
      </c>
      <c r="V16" s="524">
        <v>24000</v>
      </c>
      <c r="W16" s="525">
        <v>960</v>
      </c>
      <c r="X16" s="525">
        <v>889</v>
      </c>
      <c r="Y16" s="525">
        <v>2188</v>
      </c>
      <c r="Z16" s="525">
        <v>0</v>
      </c>
      <c r="AA16" s="525">
        <v>0</v>
      </c>
      <c r="AB16" s="525">
        <v>120</v>
      </c>
      <c r="AC16" s="525">
        <v>23285</v>
      </c>
      <c r="AD16" s="525">
        <v>324251</v>
      </c>
      <c r="AE16" s="525">
        <v>1000000</v>
      </c>
      <c r="AF16" s="525">
        <v>1324251</v>
      </c>
      <c r="AH16" s="315">
        <v>0</v>
      </c>
      <c r="AI16" s="316">
        <f t="shared" si="4"/>
        <v>101671.7678282408</v>
      </c>
      <c r="AJ16" s="335">
        <v>12000</v>
      </c>
      <c r="AK16" s="40">
        <f t="shared" si="6"/>
        <v>94095.012297269728</v>
      </c>
      <c r="AL16" s="551">
        <f t="shared" si="7"/>
        <v>12000</v>
      </c>
      <c r="AM16" s="316">
        <f t="shared" si="8"/>
        <v>94095.012297269728</v>
      </c>
      <c r="AN16" s="318"/>
      <c r="AO16" s="318"/>
    </row>
    <row r="17" spans="1:47" ht="16.2" thickBot="1">
      <c r="A17" s="533">
        <v>50</v>
      </c>
      <c r="B17" s="533">
        <v>15</v>
      </c>
      <c r="C17" s="533">
        <v>24000</v>
      </c>
      <c r="D17" s="534">
        <v>960</v>
      </c>
      <c r="E17" s="534">
        <v>972</v>
      </c>
      <c r="F17" s="534">
        <v>3687</v>
      </c>
      <c r="G17" s="534">
        <v>0</v>
      </c>
      <c r="H17" s="534">
        <v>0</v>
      </c>
      <c r="I17" s="534">
        <v>120</v>
      </c>
      <c r="J17" s="534">
        <v>39242</v>
      </c>
      <c r="K17" s="534">
        <v>546641</v>
      </c>
      <c r="L17" s="534">
        <v>1000000</v>
      </c>
      <c r="M17" s="534">
        <v>1546641</v>
      </c>
      <c r="O17" s="487">
        <f t="shared" si="1"/>
        <v>5739</v>
      </c>
      <c r="P17" s="82">
        <f t="shared" si="0"/>
        <v>1.049866365676925E-2</v>
      </c>
      <c r="Q17" s="474">
        <f t="shared" si="2"/>
        <v>2052</v>
      </c>
      <c r="R17" s="474">
        <f t="shared" si="5"/>
        <v>51624</v>
      </c>
      <c r="T17" s="548">
        <v>50</v>
      </c>
      <c r="U17" s="522">
        <v>15</v>
      </c>
      <c r="V17" s="522">
        <v>24000</v>
      </c>
      <c r="W17" s="523">
        <v>960</v>
      </c>
      <c r="X17" s="523">
        <v>972</v>
      </c>
      <c r="Y17" s="523">
        <v>2499</v>
      </c>
      <c r="Z17" s="523">
        <v>0</v>
      </c>
      <c r="AA17" s="523">
        <v>0</v>
      </c>
      <c r="AB17" s="523">
        <v>120</v>
      </c>
      <c r="AC17" s="523">
        <v>26591</v>
      </c>
      <c r="AD17" s="523">
        <v>370291</v>
      </c>
      <c r="AE17" s="523">
        <v>1000000</v>
      </c>
      <c r="AF17" s="523">
        <v>1370291</v>
      </c>
      <c r="AH17" s="315">
        <v>0</v>
      </c>
      <c r="AI17" s="316">
        <f t="shared" si="4"/>
        <v>102688.48550652321</v>
      </c>
      <c r="AJ17" s="335">
        <v>12000</v>
      </c>
      <c r="AK17" s="40">
        <f t="shared" si="6"/>
        <v>114264.32824415949</v>
      </c>
      <c r="AL17" s="551">
        <f t="shared" si="7"/>
        <v>12000</v>
      </c>
      <c r="AM17" s="316">
        <f t="shared" si="8"/>
        <v>114264.32824415949</v>
      </c>
      <c r="AN17" s="318"/>
      <c r="AO17" s="318"/>
      <c r="AP17" s="311"/>
      <c r="AQ17" s="311"/>
      <c r="AR17" s="311"/>
      <c r="AS17" s="311"/>
      <c r="AT17" s="311"/>
      <c r="AU17" s="311"/>
    </row>
    <row r="18" spans="1:47" ht="16.2" thickBot="1">
      <c r="A18" s="535">
        <v>51</v>
      </c>
      <c r="B18" s="535">
        <v>16</v>
      </c>
      <c r="C18" s="535">
        <v>24000</v>
      </c>
      <c r="D18" s="536">
        <v>960</v>
      </c>
      <c r="E18" s="536">
        <v>1052</v>
      </c>
      <c r="F18" s="536">
        <v>4101</v>
      </c>
      <c r="G18" s="536">
        <v>0</v>
      </c>
      <c r="H18" s="536">
        <v>0</v>
      </c>
      <c r="I18" s="536">
        <v>120</v>
      </c>
      <c r="J18" s="536">
        <v>43651</v>
      </c>
      <c r="K18" s="536">
        <v>608060</v>
      </c>
      <c r="L18" s="536">
        <v>1000000</v>
      </c>
      <c r="M18" s="536">
        <v>1608060</v>
      </c>
      <c r="O18" s="487">
        <f t="shared" si="1"/>
        <v>6233</v>
      </c>
      <c r="P18" s="82">
        <f t="shared" si="0"/>
        <v>1.0250633161201197E-2</v>
      </c>
      <c r="Q18" s="474">
        <f t="shared" si="2"/>
        <v>2132</v>
      </c>
      <c r="R18" s="474">
        <f t="shared" si="5"/>
        <v>53756</v>
      </c>
      <c r="T18" s="549">
        <v>51</v>
      </c>
      <c r="U18" s="524">
        <v>16</v>
      </c>
      <c r="V18" s="524">
        <v>24000</v>
      </c>
      <c r="W18" s="525">
        <v>960</v>
      </c>
      <c r="X18" s="525">
        <v>1052</v>
      </c>
      <c r="Y18" s="525">
        <v>2830</v>
      </c>
      <c r="Z18" s="525">
        <v>0</v>
      </c>
      <c r="AA18" s="525">
        <v>0</v>
      </c>
      <c r="AB18" s="525">
        <v>120</v>
      </c>
      <c r="AC18" s="525">
        <v>30120</v>
      </c>
      <c r="AD18" s="525">
        <v>419450</v>
      </c>
      <c r="AE18" s="525">
        <v>1000000</v>
      </c>
      <c r="AF18" s="525">
        <v>1419450</v>
      </c>
      <c r="AH18" s="315">
        <v>0</v>
      </c>
      <c r="AI18" s="316">
        <f t="shared" si="4"/>
        <v>103715.37036158844</v>
      </c>
      <c r="AJ18" s="335">
        <v>12000</v>
      </c>
      <c r="AK18" s="40">
        <f t="shared" si="6"/>
        <v>135986.68151895975</v>
      </c>
      <c r="AL18" s="551">
        <f t="shared" si="7"/>
        <v>12000</v>
      </c>
      <c r="AM18" s="316">
        <f t="shared" si="8"/>
        <v>135986.68151895975</v>
      </c>
      <c r="AN18" s="318"/>
      <c r="AO18" s="318"/>
      <c r="AP18" s="310"/>
      <c r="AQ18" s="310"/>
      <c r="AR18" s="310"/>
      <c r="AS18" s="310"/>
      <c r="AT18" s="310"/>
      <c r="AU18" s="310"/>
    </row>
    <row r="19" spans="1:47" ht="13.8" thickBot="1">
      <c r="A19" s="533">
        <v>52</v>
      </c>
      <c r="B19" s="533">
        <v>17</v>
      </c>
      <c r="C19" s="533">
        <v>24000</v>
      </c>
      <c r="D19" s="534">
        <v>960</v>
      </c>
      <c r="E19" s="534">
        <v>1160</v>
      </c>
      <c r="F19" s="534">
        <v>4543</v>
      </c>
      <c r="G19" s="534">
        <v>0</v>
      </c>
      <c r="H19" s="534">
        <v>0</v>
      </c>
      <c r="I19" s="534">
        <v>120</v>
      </c>
      <c r="J19" s="534">
        <v>48360</v>
      </c>
      <c r="K19" s="534">
        <v>673637</v>
      </c>
      <c r="L19" s="534">
        <v>1000000</v>
      </c>
      <c r="M19" s="534">
        <v>1673637</v>
      </c>
      <c r="O19" s="487">
        <f t="shared" si="1"/>
        <v>6783</v>
      </c>
      <c r="P19" s="82">
        <f t="shared" si="0"/>
        <v>1.006922125714591E-2</v>
      </c>
      <c r="Q19" s="474">
        <f t="shared" si="2"/>
        <v>2240</v>
      </c>
      <c r="R19" s="474">
        <f t="shared" si="5"/>
        <v>55996</v>
      </c>
      <c r="T19" s="548">
        <v>52</v>
      </c>
      <c r="U19" s="522">
        <v>17</v>
      </c>
      <c r="V19" s="522">
        <v>24000</v>
      </c>
      <c r="W19" s="523">
        <v>960</v>
      </c>
      <c r="X19" s="523">
        <v>1160</v>
      </c>
      <c r="Y19" s="523">
        <v>3184</v>
      </c>
      <c r="Z19" s="523">
        <v>0</v>
      </c>
      <c r="AA19" s="523">
        <v>0</v>
      </c>
      <c r="AB19" s="523">
        <v>120</v>
      </c>
      <c r="AC19" s="523">
        <v>33888</v>
      </c>
      <c r="AD19" s="523">
        <v>471914</v>
      </c>
      <c r="AE19" s="523">
        <v>1000000</v>
      </c>
      <c r="AF19" s="523">
        <v>1471914</v>
      </c>
      <c r="AH19" s="315">
        <v>0</v>
      </c>
      <c r="AI19" s="316">
        <f t="shared" si="4"/>
        <v>104752.52406520433</v>
      </c>
      <c r="AJ19" s="335">
        <v>12000</v>
      </c>
      <c r="AK19" s="40">
        <f t="shared" si="6"/>
        <v>159381.65599591966</v>
      </c>
      <c r="AL19" s="551">
        <f t="shared" si="7"/>
        <v>12000</v>
      </c>
      <c r="AM19" s="316">
        <f t="shared" si="8"/>
        <v>159381.65599591966</v>
      </c>
      <c r="AN19" s="318"/>
      <c r="AO19" s="318"/>
    </row>
    <row r="20" spans="1:47" ht="13.8" thickBot="1">
      <c r="A20" s="535">
        <v>53</v>
      </c>
      <c r="B20" s="535">
        <v>18</v>
      </c>
      <c r="C20" s="535">
        <v>24000</v>
      </c>
      <c r="D20" s="536">
        <v>960</v>
      </c>
      <c r="E20" s="536">
        <v>1264</v>
      </c>
      <c r="F20" s="536">
        <v>5015</v>
      </c>
      <c r="G20" s="536">
        <v>0</v>
      </c>
      <c r="H20" s="536">
        <v>0</v>
      </c>
      <c r="I20" s="536">
        <v>120</v>
      </c>
      <c r="J20" s="536">
        <v>53387</v>
      </c>
      <c r="K20" s="536">
        <v>743665</v>
      </c>
      <c r="L20" s="536">
        <v>1000000</v>
      </c>
      <c r="M20" s="536">
        <v>1743665</v>
      </c>
      <c r="O20" s="487">
        <f t="shared" si="1"/>
        <v>7359</v>
      </c>
      <c r="P20" s="82">
        <f t="shared" si="0"/>
        <v>9.895584705478945E-3</v>
      </c>
      <c r="Q20" s="474">
        <f t="shared" si="2"/>
        <v>2344</v>
      </c>
      <c r="R20" s="474">
        <f t="shared" si="5"/>
        <v>58340</v>
      </c>
      <c r="T20" s="549">
        <v>53</v>
      </c>
      <c r="U20" s="524">
        <v>18</v>
      </c>
      <c r="V20" s="524">
        <v>24000</v>
      </c>
      <c r="W20" s="525">
        <v>960</v>
      </c>
      <c r="X20" s="525">
        <v>1264</v>
      </c>
      <c r="Y20" s="525">
        <v>3562</v>
      </c>
      <c r="Z20" s="525">
        <v>0</v>
      </c>
      <c r="AA20" s="525">
        <v>0</v>
      </c>
      <c r="AB20" s="525">
        <v>120</v>
      </c>
      <c r="AC20" s="525">
        <v>37910</v>
      </c>
      <c r="AD20" s="525">
        <v>527918</v>
      </c>
      <c r="AE20" s="525">
        <v>1000000</v>
      </c>
      <c r="AF20" s="525">
        <v>1527918</v>
      </c>
      <c r="AG20" s="502"/>
      <c r="AH20" s="552">
        <v>0</v>
      </c>
      <c r="AI20" s="505">
        <f t="shared" si="4"/>
        <v>105800.04930585637</v>
      </c>
      <c r="AJ20" s="335">
        <v>12000</v>
      </c>
      <c r="AK20" s="530">
        <f t="shared" si="6"/>
        <v>184578.04350760547</v>
      </c>
      <c r="AL20" s="551">
        <f t="shared" si="7"/>
        <v>12000</v>
      </c>
      <c r="AM20" s="316">
        <f t="shared" si="8"/>
        <v>184578.04350760547</v>
      </c>
      <c r="AN20" s="318"/>
      <c r="AO20" s="318"/>
    </row>
    <row r="21" spans="1:47" ht="13.8" thickBot="1">
      <c r="A21" s="533">
        <v>54</v>
      </c>
      <c r="B21" s="533">
        <v>19</v>
      </c>
      <c r="C21" s="533">
        <v>24000</v>
      </c>
      <c r="D21" s="534">
        <v>960</v>
      </c>
      <c r="E21" s="534">
        <v>1381</v>
      </c>
      <c r="F21" s="534">
        <v>5519</v>
      </c>
      <c r="G21" s="534">
        <v>0</v>
      </c>
      <c r="H21" s="534">
        <v>0</v>
      </c>
      <c r="I21" s="534">
        <v>120</v>
      </c>
      <c r="J21" s="534">
        <v>58756</v>
      </c>
      <c r="K21" s="534">
        <v>818441</v>
      </c>
      <c r="L21" s="534">
        <v>1000000</v>
      </c>
      <c r="M21" s="534">
        <v>1818441</v>
      </c>
      <c r="O21" s="487">
        <f t="shared" si="1"/>
        <v>7980</v>
      </c>
      <c r="P21" s="82">
        <f t="shared" si="0"/>
        <v>9.7502446724931913E-3</v>
      </c>
      <c r="Q21" s="474">
        <f t="shared" si="2"/>
        <v>2461</v>
      </c>
      <c r="R21" s="474">
        <f t="shared" si="5"/>
        <v>60801</v>
      </c>
      <c r="T21" s="548">
        <v>54</v>
      </c>
      <c r="U21" s="522">
        <v>19</v>
      </c>
      <c r="V21" s="542">
        <v>-30025</v>
      </c>
      <c r="W21" s="523">
        <v>0</v>
      </c>
      <c r="X21" s="523">
        <v>1381</v>
      </c>
      <c r="Y21" s="523">
        <v>3583</v>
      </c>
      <c r="Z21" s="523">
        <v>0</v>
      </c>
      <c r="AA21" s="523">
        <v>0</v>
      </c>
      <c r="AB21" s="523">
        <v>120</v>
      </c>
      <c r="AC21" s="523">
        <v>38164</v>
      </c>
      <c r="AD21" s="523">
        <v>530973</v>
      </c>
      <c r="AE21" s="523">
        <v>1000946</v>
      </c>
      <c r="AF21" s="523">
        <v>1497893</v>
      </c>
      <c r="AH21" s="6">
        <v>0</v>
      </c>
      <c r="AI21" s="312">
        <f t="shared" si="4"/>
        <v>106858.04979891494</v>
      </c>
      <c r="AJ21" s="543">
        <f>V21</f>
        <v>-30025</v>
      </c>
      <c r="AK21" s="38">
        <f t="shared" si="6"/>
        <v>154553.04350760547</v>
      </c>
      <c r="AL21" s="551">
        <f t="shared" si="7"/>
        <v>0</v>
      </c>
      <c r="AM21" s="316">
        <f t="shared" si="8"/>
        <v>198790.55285769107</v>
      </c>
      <c r="AN21" s="318"/>
      <c r="AO21" s="318"/>
    </row>
    <row r="22" spans="1:47" ht="13.8" thickBot="1">
      <c r="A22" s="535">
        <v>55</v>
      </c>
      <c r="B22" s="535">
        <v>20</v>
      </c>
      <c r="C22" s="535">
        <v>24000</v>
      </c>
      <c r="D22" s="536">
        <v>960</v>
      </c>
      <c r="E22" s="536">
        <v>1492</v>
      </c>
      <c r="F22" s="536">
        <v>6058</v>
      </c>
      <c r="G22" s="536">
        <v>0</v>
      </c>
      <c r="H22" s="536">
        <v>0</v>
      </c>
      <c r="I22" s="536">
        <v>120</v>
      </c>
      <c r="J22" s="536">
        <v>64489</v>
      </c>
      <c r="K22" s="536">
        <v>898300</v>
      </c>
      <c r="L22" s="536">
        <v>1000000</v>
      </c>
      <c r="M22" s="536">
        <v>1898300</v>
      </c>
      <c r="O22" s="487">
        <f t="shared" si="1"/>
        <v>8630</v>
      </c>
      <c r="P22" s="82">
        <f t="shared" si="0"/>
        <v>9.6070355115217641E-3</v>
      </c>
      <c r="Q22" s="474">
        <f t="shared" si="2"/>
        <v>2572</v>
      </c>
      <c r="R22" s="474">
        <f t="shared" si="5"/>
        <v>63373</v>
      </c>
      <c r="T22" s="549">
        <v>55</v>
      </c>
      <c r="U22" s="524">
        <v>20</v>
      </c>
      <c r="V22" s="541">
        <v>-30025</v>
      </c>
      <c r="W22" s="525">
        <v>0</v>
      </c>
      <c r="X22" s="525">
        <v>1443</v>
      </c>
      <c r="Y22" s="525">
        <v>3604</v>
      </c>
      <c r="Z22" s="525">
        <v>0</v>
      </c>
      <c r="AA22" s="525">
        <v>0</v>
      </c>
      <c r="AB22" s="525">
        <v>120</v>
      </c>
      <c r="AC22" s="525">
        <v>38396</v>
      </c>
      <c r="AD22" s="525">
        <v>534176</v>
      </c>
      <c r="AE22" s="525">
        <v>967946</v>
      </c>
      <c r="AF22" s="525">
        <v>1467893</v>
      </c>
      <c r="AH22" s="315">
        <v>0</v>
      </c>
      <c r="AI22" s="316">
        <f t="shared" si="4"/>
        <v>107926.6302969041</v>
      </c>
      <c r="AJ22" s="544">
        <f t="shared" ref="AJ22:AJ26" si="9">V22</f>
        <v>-30025</v>
      </c>
      <c r="AK22" s="40">
        <f t="shared" si="6"/>
        <v>124528.04350760547</v>
      </c>
      <c r="AL22" s="551">
        <f t="shared" si="7"/>
        <v>0</v>
      </c>
      <c r="AM22" s="316">
        <f t="shared" si="8"/>
        <v>214097.42542773328</v>
      </c>
      <c r="AN22" s="318"/>
      <c r="AO22" s="318"/>
    </row>
    <row r="23" spans="1:47" ht="13.8" thickBot="1">
      <c r="A23" s="533">
        <v>56</v>
      </c>
      <c r="B23" s="533">
        <v>21</v>
      </c>
      <c r="C23" s="533">
        <v>24000</v>
      </c>
      <c r="D23" s="534">
        <v>960</v>
      </c>
      <c r="E23" s="534">
        <v>1621</v>
      </c>
      <c r="F23" s="534">
        <v>6632</v>
      </c>
      <c r="G23" s="534">
        <v>0</v>
      </c>
      <c r="H23" s="534">
        <v>0</v>
      </c>
      <c r="I23" s="534">
        <v>120</v>
      </c>
      <c r="J23" s="534">
        <v>70611</v>
      </c>
      <c r="K23" s="534">
        <v>983577</v>
      </c>
      <c r="L23" s="534">
        <v>1000000</v>
      </c>
      <c r="M23" s="534">
        <v>1983577</v>
      </c>
      <c r="O23" s="487">
        <f t="shared" si="1"/>
        <v>9333</v>
      </c>
      <c r="P23" s="304">
        <f t="shared" si="0"/>
        <v>9.4888351394959419E-3</v>
      </c>
      <c r="Q23" s="474">
        <f t="shared" si="2"/>
        <v>2701</v>
      </c>
      <c r="R23" s="474">
        <f t="shared" si="5"/>
        <v>66074</v>
      </c>
      <c r="T23" s="548">
        <v>56</v>
      </c>
      <c r="U23" s="522">
        <v>21</v>
      </c>
      <c r="V23" s="542">
        <v>-30025</v>
      </c>
      <c r="W23" s="523">
        <v>0</v>
      </c>
      <c r="X23" s="523">
        <v>1514</v>
      </c>
      <c r="Y23" s="523">
        <v>3627</v>
      </c>
      <c r="Z23" s="523">
        <v>0</v>
      </c>
      <c r="AA23" s="523">
        <v>0</v>
      </c>
      <c r="AB23" s="523">
        <v>120</v>
      </c>
      <c r="AC23" s="523">
        <v>38639</v>
      </c>
      <c r="AD23" s="523">
        <v>537528</v>
      </c>
      <c r="AE23" s="523">
        <v>934805</v>
      </c>
      <c r="AF23" s="523">
        <v>1437893</v>
      </c>
      <c r="AH23" s="315">
        <v>0</v>
      </c>
      <c r="AI23" s="316">
        <f t="shared" si="4"/>
        <v>109005.89659987314</v>
      </c>
      <c r="AJ23" s="544">
        <f t="shared" si="9"/>
        <v>-30025</v>
      </c>
      <c r="AK23" s="40">
        <f t="shared" si="6"/>
        <v>94503.043507605471</v>
      </c>
      <c r="AL23" s="551">
        <f t="shared" si="7"/>
        <v>0</v>
      </c>
      <c r="AM23" s="316">
        <f t="shared" si="8"/>
        <v>230582.92718566873</v>
      </c>
      <c r="AN23" s="318"/>
      <c r="AO23" s="318"/>
    </row>
    <row r="24" spans="1:47" ht="13.8" thickBot="1">
      <c r="A24" s="535">
        <v>57</v>
      </c>
      <c r="B24" s="535">
        <v>22</v>
      </c>
      <c r="C24" s="535">
        <v>24000</v>
      </c>
      <c r="D24" s="536">
        <v>960</v>
      </c>
      <c r="E24" s="536">
        <v>1762</v>
      </c>
      <c r="F24" s="536">
        <v>7246</v>
      </c>
      <c r="G24" s="536">
        <v>0</v>
      </c>
      <c r="H24" s="536">
        <v>0</v>
      </c>
      <c r="I24" s="536">
        <v>120</v>
      </c>
      <c r="J24" s="536">
        <v>77149</v>
      </c>
      <c r="K24" s="536">
        <v>1074638</v>
      </c>
      <c r="L24" s="536">
        <v>1000000</v>
      </c>
      <c r="M24" s="536">
        <v>2074638</v>
      </c>
      <c r="O24" s="487">
        <f t="shared" si="1"/>
        <v>10088</v>
      </c>
      <c r="P24" s="304">
        <f t="shared" si="0"/>
        <v>9.3873471810972629E-3</v>
      </c>
      <c r="Q24" s="474">
        <f t="shared" si="2"/>
        <v>2842</v>
      </c>
      <c r="R24" s="474">
        <f t="shared" si="5"/>
        <v>68916</v>
      </c>
      <c r="T24" s="549">
        <v>57</v>
      </c>
      <c r="U24" s="524">
        <v>22</v>
      </c>
      <c r="V24" s="541">
        <v>-30025</v>
      </c>
      <c r="W24" s="525">
        <v>0</v>
      </c>
      <c r="X24" s="525">
        <v>1587</v>
      </c>
      <c r="Y24" s="525">
        <v>3651</v>
      </c>
      <c r="Z24" s="525">
        <v>0</v>
      </c>
      <c r="AA24" s="525">
        <v>0</v>
      </c>
      <c r="AB24" s="525">
        <v>120</v>
      </c>
      <c r="AC24" s="525">
        <v>38894</v>
      </c>
      <c r="AD24" s="525">
        <v>541039</v>
      </c>
      <c r="AE24" s="525">
        <v>901517</v>
      </c>
      <c r="AF24" s="525">
        <v>1407893</v>
      </c>
      <c r="AH24" s="315">
        <v>0</v>
      </c>
      <c r="AI24" s="316">
        <f t="shared" si="4"/>
        <v>110095.95556587187</v>
      </c>
      <c r="AJ24" s="544">
        <f t="shared" si="9"/>
        <v>-30025</v>
      </c>
      <c r="AK24" s="40">
        <f t="shared" si="6"/>
        <v>64478.043507605471</v>
      </c>
      <c r="AL24" s="551">
        <f t="shared" si="7"/>
        <v>0</v>
      </c>
      <c r="AM24" s="316">
        <f t="shared" si="8"/>
        <v>248337.81257896521</v>
      </c>
      <c r="AN24" s="318"/>
      <c r="AO24" s="318"/>
    </row>
    <row r="25" spans="1:47" ht="13.8" thickBot="1">
      <c r="A25" s="533">
        <v>58</v>
      </c>
      <c r="B25" s="533">
        <v>23</v>
      </c>
      <c r="C25" s="533">
        <v>24000</v>
      </c>
      <c r="D25" s="534">
        <v>960</v>
      </c>
      <c r="E25" s="534">
        <v>1944</v>
      </c>
      <c r="F25" s="534">
        <v>7902</v>
      </c>
      <c r="G25" s="534">
        <v>0</v>
      </c>
      <c r="H25" s="534">
        <v>0</v>
      </c>
      <c r="I25" s="534">
        <v>120</v>
      </c>
      <c r="J25" s="534">
        <v>84129</v>
      </c>
      <c r="K25" s="534">
        <v>1171841</v>
      </c>
      <c r="L25" s="534">
        <v>1000000</v>
      </c>
      <c r="M25" s="534">
        <v>2171841</v>
      </c>
      <c r="O25" s="487">
        <f t="shared" si="1"/>
        <v>10926</v>
      </c>
      <c r="P25" s="304">
        <f t="shared" si="0"/>
        <v>9.3237905142421196E-3</v>
      </c>
      <c r="Q25" s="474">
        <f t="shared" si="2"/>
        <v>3024</v>
      </c>
      <c r="R25" s="474">
        <f t="shared" si="5"/>
        <v>71940</v>
      </c>
      <c r="T25" s="548">
        <v>58</v>
      </c>
      <c r="U25" s="522">
        <v>23</v>
      </c>
      <c r="V25" s="542">
        <v>-30025</v>
      </c>
      <c r="W25" s="523">
        <v>0</v>
      </c>
      <c r="X25" s="523">
        <v>1687</v>
      </c>
      <c r="Y25" s="523">
        <v>3676</v>
      </c>
      <c r="Z25" s="523">
        <v>0</v>
      </c>
      <c r="AA25" s="523">
        <v>0</v>
      </c>
      <c r="AB25" s="523">
        <v>120</v>
      </c>
      <c r="AC25" s="523">
        <v>39159</v>
      </c>
      <c r="AD25" s="523">
        <v>544691</v>
      </c>
      <c r="AE25" s="523">
        <v>868095</v>
      </c>
      <c r="AF25" s="523">
        <v>1377893</v>
      </c>
      <c r="AH25" s="315">
        <v>0</v>
      </c>
      <c r="AI25" s="316">
        <f t="shared" si="4"/>
        <v>111196.91512153059</v>
      </c>
      <c r="AJ25" s="544">
        <f t="shared" si="9"/>
        <v>-30025</v>
      </c>
      <c r="AK25" s="40">
        <f t="shared" si="6"/>
        <v>34453.043507605471</v>
      </c>
      <c r="AL25" s="551">
        <f t="shared" si="7"/>
        <v>0</v>
      </c>
      <c r="AM25" s="316">
        <f t="shared" si="8"/>
        <v>267459.8241475455</v>
      </c>
      <c r="AN25" s="318"/>
      <c r="AO25" s="318"/>
    </row>
    <row r="26" spans="1:47" ht="13.8" thickBot="1">
      <c r="A26" s="535">
        <v>59</v>
      </c>
      <c r="B26" s="535">
        <v>24</v>
      </c>
      <c r="C26" s="535">
        <v>24000</v>
      </c>
      <c r="D26" s="536">
        <v>960</v>
      </c>
      <c r="E26" s="536">
        <v>2179</v>
      </c>
      <c r="F26" s="536">
        <v>8602</v>
      </c>
      <c r="G26" s="536">
        <v>0</v>
      </c>
      <c r="H26" s="536">
        <v>0</v>
      </c>
      <c r="I26" s="536">
        <v>120</v>
      </c>
      <c r="J26" s="536">
        <v>91578</v>
      </c>
      <c r="K26" s="536">
        <v>1275559</v>
      </c>
      <c r="L26" s="536">
        <v>1000000</v>
      </c>
      <c r="M26" s="536">
        <v>2275559</v>
      </c>
      <c r="O26" s="487">
        <f t="shared" si="1"/>
        <v>11861</v>
      </c>
      <c r="P26" s="304">
        <f t="shared" si="0"/>
        <v>9.298668270146658E-3</v>
      </c>
      <c r="Q26" s="474">
        <f t="shared" si="2"/>
        <v>3259</v>
      </c>
      <c r="R26" s="474">
        <f t="shared" si="5"/>
        <v>75199</v>
      </c>
      <c r="T26" s="549">
        <v>59</v>
      </c>
      <c r="U26" s="524">
        <v>24</v>
      </c>
      <c r="V26" s="541">
        <v>-30025</v>
      </c>
      <c r="W26" s="525">
        <v>0</v>
      </c>
      <c r="X26" s="525">
        <v>1817</v>
      </c>
      <c r="Y26" s="525">
        <v>3702</v>
      </c>
      <c r="Z26" s="525">
        <v>0</v>
      </c>
      <c r="AA26" s="525">
        <v>0</v>
      </c>
      <c r="AB26" s="525">
        <v>120</v>
      </c>
      <c r="AC26" s="525">
        <v>39434</v>
      </c>
      <c r="AD26" s="525">
        <v>548461</v>
      </c>
      <c r="AE26" s="525">
        <v>834559</v>
      </c>
      <c r="AF26" s="525">
        <v>1347893</v>
      </c>
      <c r="AH26" s="315">
        <v>0</v>
      </c>
      <c r="AI26" s="316">
        <f t="shared" si="4"/>
        <v>112308.8842727459</v>
      </c>
      <c r="AJ26" s="544">
        <f t="shared" si="9"/>
        <v>-30025</v>
      </c>
      <c r="AK26" s="40">
        <f t="shared" si="6"/>
        <v>4428.0435076054709</v>
      </c>
      <c r="AL26" s="551">
        <f t="shared" si="7"/>
        <v>0</v>
      </c>
      <c r="AM26" s="316">
        <f t="shared" si="8"/>
        <v>288054.23060690647</v>
      </c>
      <c r="AN26" s="318"/>
      <c r="AO26" s="318"/>
    </row>
    <row r="27" spans="1:47" ht="13.8" thickBot="1">
      <c r="A27" s="533">
        <v>60</v>
      </c>
      <c r="B27" s="533">
        <v>25</v>
      </c>
      <c r="C27" s="533">
        <v>24000</v>
      </c>
      <c r="D27" s="534">
        <v>960</v>
      </c>
      <c r="E27" s="534">
        <v>2419</v>
      </c>
      <c r="F27" s="534">
        <v>9348</v>
      </c>
      <c r="G27" s="534">
        <v>0</v>
      </c>
      <c r="H27" s="534">
        <v>0</v>
      </c>
      <c r="I27" s="534">
        <v>120</v>
      </c>
      <c r="J27" s="534">
        <v>99527</v>
      </c>
      <c r="K27" s="534">
        <v>1386239</v>
      </c>
      <c r="L27" s="534">
        <v>1000000</v>
      </c>
      <c r="M27" s="534">
        <v>2386239</v>
      </c>
      <c r="O27" s="487">
        <f t="shared" si="1"/>
        <v>12847</v>
      </c>
      <c r="P27" s="304">
        <f t="shared" si="0"/>
        <v>9.2675216899827523E-3</v>
      </c>
      <c r="Q27" s="474">
        <f t="shared" si="2"/>
        <v>3499</v>
      </c>
      <c r="R27" s="474">
        <f t="shared" si="5"/>
        <v>78698</v>
      </c>
      <c r="T27" s="548">
        <v>60</v>
      </c>
      <c r="U27" s="522">
        <v>25</v>
      </c>
      <c r="V27" s="522">
        <v>24000</v>
      </c>
      <c r="W27" s="523">
        <v>960</v>
      </c>
      <c r="X27" s="523">
        <v>1879</v>
      </c>
      <c r="Y27" s="523">
        <v>4111</v>
      </c>
      <c r="Z27" s="523">
        <v>0</v>
      </c>
      <c r="AA27" s="523">
        <v>0</v>
      </c>
      <c r="AB27" s="523">
        <v>120</v>
      </c>
      <c r="AC27" s="523">
        <v>43760</v>
      </c>
      <c r="AD27" s="523">
        <v>609151</v>
      </c>
      <c r="AE27" s="523">
        <v>777764</v>
      </c>
      <c r="AF27" s="523">
        <v>1347893</v>
      </c>
      <c r="AG27" s="502"/>
      <c r="AH27" s="553">
        <v>0</v>
      </c>
      <c r="AI27" s="554">
        <f t="shared" si="4"/>
        <v>113431.97311547336</v>
      </c>
      <c r="AJ27" s="553"/>
      <c r="AK27" s="553"/>
      <c r="AL27" s="551">
        <f t="shared" si="7"/>
        <v>24000</v>
      </c>
      <c r="AM27" s="316">
        <f t="shared" si="8"/>
        <v>336082.40636363823</v>
      </c>
      <c r="AN27" s="318"/>
      <c r="AO27" s="318"/>
    </row>
    <row r="28" spans="1:47" ht="13.8" thickBot="1">
      <c r="A28" s="535">
        <v>61</v>
      </c>
      <c r="B28" s="535">
        <v>26</v>
      </c>
      <c r="C28" s="535">
        <v>24000</v>
      </c>
      <c r="D28" s="536">
        <v>960</v>
      </c>
      <c r="E28" s="536">
        <v>2746</v>
      </c>
      <c r="F28" s="536">
        <v>10144</v>
      </c>
      <c r="G28" s="536">
        <v>0</v>
      </c>
      <c r="H28" s="536">
        <v>0</v>
      </c>
      <c r="I28" s="536">
        <v>120</v>
      </c>
      <c r="J28" s="536">
        <v>108007</v>
      </c>
      <c r="K28" s="536">
        <v>1504276</v>
      </c>
      <c r="L28" s="536">
        <v>1000000</v>
      </c>
      <c r="M28" s="536">
        <v>2504276</v>
      </c>
      <c r="O28" s="487">
        <f t="shared" si="1"/>
        <v>13970</v>
      </c>
      <c r="P28" s="304">
        <f t="shared" si="0"/>
        <v>9.2868595922556765E-3</v>
      </c>
      <c r="Q28" s="474">
        <f t="shared" si="2"/>
        <v>3826</v>
      </c>
      <c r="R28" s="474">
        <f t="shared" si="5"/>
        <v>82524</v>
      </c>
      <c r="T28" s="549">
        <v>61</v>
      </c>
      <c r="U28" s="524">
        <v>26</v>
      </c>
      <c r="V28" s="524">
        <v>24000</v>
      </c>
      <c r="W28" s="525">
        <v>960</v>
      </c>
      <c r="X28" s="525">
        <v>1966</v>
      </c>
      <c r="Y28" s="525">
        <v>4548</v>
      </c>
      <c r="Z28" s="525">
        <v>0</v>
      </c>
      <c r="AA28" s="525">
        <v>0</v>
      </c>
      <c r="AB28" s="525">
        <v>120</v>
      </c>
      <c r="AC28" s="525">
        <v>48413</v>
      </c>
      <c r="AD28" s="525">
        <v>673969</v>
      </c>
      <c r="AE28" s="525">
        <v>717104</v>
      </c>
      <c r="AF28" s="525">
        <v>1347893</v>
      </c>
      <c r="AH28" s="6">
        <v>0</v>
      </c>
      <c r="AI28" s="316">
        <f t="shared" si="4"/>
        <v>114566.2928466281</v>
      </c>
      <c r="AJ28" s="1"/>
      <c r="AK28" s="1"/>
      <c r="AL28" s="551">
        <f t="shared" si="7"/>
        <v>24000</v>
      </c>
      <c r="AM28" s="316">
        <f t="shared" si="8"/>
        <v>387808.75165363838</v>
      </c>
      <c r="AN28" s="318"/>
      <c r="AO28" s="318"/>
    </row>
    <row r="29" spans="1:47" ht="13.8" thickBot="1">
      <c r="A29" s="533">
        <v>62</v>
      </c>
      <c r="B29" s="533">
        <v>27</v>
      </c>
      <c r="C29" s="533">
        <v>24000</v>
      </c>
      <c r="D29" s="534">
        <v>960</v>
      </c>
      <c r="E29" s="534">
        <v>2924</v>
      </c>
      <c r="F29" s="534">
        <v>10994</v>
      </c>
      <c r="G29" s="534">
        <v>0</v>
      </c>
      <c r="H29" s="534">
        <v>0</v>
      </c>
      <c r="I29" s="534">
        <v>120</v>
      </c>
      <c r="J29" s="534">
        <v>117057</v>
      </c>
      <c r="K29" s="534">
        <v>1630336</v>
      </c>
      <c r="L29" s="534">
        <v>1000000</v>
      </c>
      <c r="M29" s="534">
        <v>2630336</v>
      </c>
      <c r="O29" s="487">
        <f t="shared" si="1"/>
        <v>14998</v>
      </c>
      <c r="P29" s="304">
        <f t="shared" si="0"/>
        <v>9.1993306901154114E-3</v>
      </c>
      <c r="Q29" s="474">
        <f t="shared" si="2"/>
        <v>4004</v>
      </c>
      <c r="R29" s="474">
        <f t="shared" si="5"/>
        <v>86528</v>
      </c>
      <c r="T29" s="548">
        <v>62</v>
      </c>
      <c r="U29" s="522">
        <v>27</v>
      </c>
      <c r="V29" s="522">
        <v>24000</v>
      </c>
      <c r="W29" s="523">
        <v>960</v>
      </c>
      <c r="X29" s="523">
        <v>1904</v>
      </c>
      <c r="Y29" s="523">
        <v>5015</v>
      </c>
      <c r="Z29" s="523">
        <v>0</v>
      </c>
      <c r="AA29" s="523">
        <v>0</v>
      </c>
      <c r="AB29" s="523">
        <v>120</v>
      </c>
      <c r="AC29" s="523">
        <v>53388</v>
      </c>
      <c r="AD29" s="523">
        <v>743358</v>
      </c>
      <c r="AE29" s="523">
        <v>652175</v>
      </c>
      <c r="AF29" s="523">
        <v>1347893</v>
      </c>
      <c r="AH29" s="315">
        <v>0</v>
      </c>
      <c r="AI29" s="316">
        <f t="shared" si="4"/>
        <v>115711.95577509438</v>
      </c>
      <c r="AJ29" s="1"/>
      <c r="AK29" s="1"/>
      <c r="AL29" s="551">
        <f t="shared" si="7"/>
        <v>24000</v>
      </c>
      <c r="AM29" s="316">
        <f t="shared" si="8"/>
        <v>443518.0255309685</v>
      </c>
      <c r="AN29" s="318"/>
      <c r="AO29" s="318"/>
    </row>
    <row r="30" spans="1:47" ht="16.2" thickBot="1">
      <c r="A30" s="535">
        <v>63</v>
      </c>
      <c r="B30" s="535">
        <v>28</v>
      </c>
      <c r="C30" s="535">
        <v>24000</v>
      </c>
      <c r="D30" s="536">
        <v>960</v>
      </c>
      <c r="E30" s="536">
        <v>3116</v>
      </c>
      <c r="F30" s="536">
        <v>11902</v>
      </c>
      <c r="G30" s="536">
        <v>0</v>
      </c>
      <c r="H30" s="536">
        <v>0</v>
      </c>
      <c r="I30" s="536">
        <v>120</v>
      </c>
      <c r="J30" s="536">
        <v>126722</v>
      </c>
      <c r="K30" s="536">
        <v>1764960</v>
      </c>
      <c r="L30" s="536">
        <v>1000000</v>
      </c>
      <c r="M30" s="536">
        <v>2764960</v>
      </c>
      <c r="O30" s="487">
        <f t="shared" si="1"/>
        <v>16098</v>
      </c>
      <c r="P30" s="304">
        <f t="shared" si="0"/>
        <v>9.1208865923307052E-3</v>
      </c>
      <c r="Q30" s="474">
        <f t="shared" si="2"/>
        <v>4196</v>
      </c>
      <c r="R30" s="474">
        <f t="shared" si="5"/>
        <v>90724</v>
      </c>
      <c r="T30" s="549">
        <v>63</v>
      </c>
      <c r="U30" s="524">
        <v>28</v>
      </c>
      <c r="V30" s="524">
        <v>24000</v>
      </c>
      <c r="W30" s="525">
        <v>960</v>
      </c>
      <c r="X30" s="525">
        <v>1813</v>
      </c>
      <c r="Y30" s="525">
        <v>5515</v>
      </c>
      <c r="Z30" s="525">
        <v>0</v>
      </c>
      <c r="AA30" s="525">
        <v>0</v>
      </c>
      <c r="AB30" s="525">
        <v>120</v>
      </c>
      <c r="AC30" s="525">
        <v>58716</v>
      </c>
      <c r="AD30" s="525">
        <v>817666</v>
      </c>
      <c r="AE30" s="525">
        <v>582644</v>
      </c>
      <c r="AF30" s="525">
        <v>1347893</v>
      </c>
      <c r="AH30" s="315">
        <v>0</v>
      </c>
      <c r="AI30" s="316">
        <f t="shared" si="4"/>
        <v>116869.07533284533</v>
      </c>
      <c r="AJ30" s="1"/>
      <c r="AK30" s="1"/>
      <c r="AL30" s="551">
        <f t="shared" si="7"/>
        <v>24000</v>
      </c>
      <c r="AM30" s="316">
        <f t="shared" si="8"/>
        <v>503516.91349685309</v>
      </c>
      <c r="AN30" s="329"/>
      <c r="AO30" s="323" t="s">
        <v>3619</v>
      </c>
      <c r="AP30" s="324"/>
      <c r="AQ30" s="325"/>
    </row>
    <row r="31" spans="1:47" ht="16.2" customHeight="1" thickBot="1">
      <c r="A31" s="533">
        <v>64</v>
      </c>
      <c r="B31" s="533">
        <v>29</v>
      </c>
      <c r="C31" s="533">
        <v>24000</v>
      </c>
      <c r="D31" s="534">
        <v>960</v>
      </c>
      <c r="E31" s="534">
        <v>3323</v>
      </c>
      <c r="F31" s="534">
        <v>12871</v>
      </c>
      <c r="G31" s="534">
        <v>0</v>
      </c>
      <c r="H31" s="534">
        <v>0</v>
      </c>
      <c r="I31" s="534">
        <v>120</v>
      </c>
      <c r="J31" s="534">
        <v>137043</v>
      </c>
      <c r="K31" s="534">
        <v>1908729</v>
      </c>
      <c r="L31" s="534">
        <v>1000000</v>
      </c>
      <c r="M31" s="534">
        <v>2908729</v>
      </c>
      <c r="O31" s="487">
        <f t="shared" si="1"/>
        <v>17274</v>
      </c>
      <c r="P31" s="304">
        <f t="shared" si="0"/>
        <v>9.0500013359675474E-3</v>
      </c>
      <c r="Q31" s="474">
        <f t="shared" si="2"/>
        <v>4403</v>
      </c>
      <c r="R31" s="474">
        <f t="shared" si="5"/>
        <v>95127</v>
      </c>
      <c r="T31" s="548">
        <v>64</v>
      </c>
      <c r="U31" s="522">
        <v>29</v>
      </c>
      <c r="V31" s="522">
        <v>24000</v>
      </c>
      <c r="W31" s="523">
        <v>960</v>
      </c>
      <c r="X31" s="523">
        <v>1686</v>
      </c>
      <c r="Y31" s="523">
        <v>6051</v>
      </c>
      <c r="Z31" s="523">
        <v>0</v>
      </c>
      <c r="AA31" s="523">
        <v>0</v>
      </c>
      <c r="AB31" s="523">
        <v>120</v>
      </c>
      <c r="AC31" s="523">
        <v>64422</v>
      </c>
      <c r="AD31" s="523">
        <v>897271</v>
      </c>
      <c r="AE31" s="523">
        <v>508159</v>
      </c>
      <c r="AF31" s="523">
        <v>1347893</v>
      </c>
      <c r="AH31" s="315">
        <v>0</v>
      </c>
      <c r="AI31" s="316">
        <f t="shared" si="4"/>
        <v>118037.76608617378</v>
      </c>
      <c r="AJ31" s="1"/>
      <c r="AK31" s="1"/>
      <c r="AL31" s="551">
        <f t="shared" si="7"/>
        <v>24000</v>
      </c>
      <c r="AM31" s="316">
        <f t="shared" si="8"/>
        <v>568135.71583611076</v>
      </c>
      <c r="AN31" s="326"/>
      <c r="AO31" s="326"/>
      <c r="AP31" s="327"/>
      <c r="AQ31" s="328"/>
    </row>
    <row r="32" spans="1:47" ht="18" thickBot="1">
      <c r="A32" s="535">
        <v>65</v>
      </c>
      <c r="B32" s="535">
        <v>30</v>
      </c>
      <c r="C32" s="535">
        <v>24000</v>
      </c>
      <c r="D32" s="536">
        <v>960</v>
      </c>
      <c r="E32" s="536">
        <v>3684</v>
      </c>
      <c r="F32" s="536">
        <v>13906</v>
      </c>
      <c r="G32" s="536">
        <v>0</v>
      </c>
      <c r="H32" s="536">
        <v>0</v>
      </c>
      <c r="I32" s="536">
        <v>120</v>
      </c>
      <c r="J32" s="536">
        <v>148061</v>
      </c>
      <c r="K32" s="536">
        <v>2062120</v>
      </c>
      <c r="L32" s="536">
        <v>1000000</v>
      </c>
      <c r="M32" s="536">
        <v>3062120</v>
      </c>
      <c r="O32" s="487">
        <f t="shared" si="1"/>
        <v>18670</v>
      </c>
      <c r="P32" s="304">
        <f t="shared" si="0"/>
        <v>9.053789304211201E-3</v>
      </c>
      <c r="Q32" s="474">
        <f t="shared" si="2"/>
        <v>4764</v>
      </c>
      <c r="R32" s="474">
        <f t="shared" si="5"/>
        <v>99891</v>
      </c>
      <c r="T32" s="549">
        <v>65</v>
      </c>
      <c r="U32" s="524">
        <v>30</v>
      </c>
      <c r="V32" s="524">
        <v>24000</v>
      </c>
      <c r="W32" s="525">
        <v>960</v>
      </c>
      <c r="X32" s="525">
        <v>1576</v>
      </c>
      <c r="Y32" s="525">
        <v>6625</v>
      </c>
      <c r="Z32" s="525">
        <v>0</v>
      </c>
      <c r="AA32" s="525">
        <v>0</v>
      </c>
      <c r="AB32" s="525">
        <v>120</v>
      </c>
      <c r="AC32" s="525">
        <v>70534</v>
      </c>
      <c r="AD32" s="525">
        <v>982524</v>
      </c>
      <c r="AE32" s="525">
        <v>428387</v>
      </c>
      <c r="AF32" s="525">
        <v>1347893</v>
      </c>
      <c r="AH32" s="546">
        <v>0</v>
      </c>
      <c r="AI32" s="555">
        <f t="shared" si="4"/>
        <v>119218.14374703552</v>
      </c>
      <c r="AJ32" s="1"/>
      <c r="AK32" s="1"/>
      <c r="AL32" s="551">
        <f t="shared" si="7"/>
        <v>24000</v>
      </c>
      <c r="AM32" s="556">
        <f t="shared" si="8"/>
        <v>637730.16595549125</v>
      </c>
      <c r="AN32" s="330">
        <v>0.03</v>
      </c>
      <c r="AO32" s="320">
        <f>AI32+AM32</f>
        <v>756948.30970252678</v>
      </c>
      <c r="AP32" s="322">
        <v>0.01</v>
      </c>
      <c r="AQ32" s="321">
        <f>AO32</f>
        <v>756948.30970252678</v>
      </c>
    </row>
    <row r="33" spans="1:43" ht="13.8" thickBot="1">
      <c r="A33" s="533">
        <v>66</v>
      </c>
      <c r="B33" s="533">
        <v>31</v>
      </c>
      <c r="C33" s="533">
        <v>-145025</v>
      </c>
      <c r="D33" s="534">
        <v>0</v>
      </c>
      <c r="E33" s="534">
        <v>4096</v>
      </c>
      <c r="F33" s="534">
        <v>13800</v>
      </c>
      <c r="G33" s="534">
        <v>0</v>
      </c>
      <c r="H33" s="534">
        <v>0</v>
      </c>
      <c r="I33" s="534">
        <v>120</v>
      </c>
      <c r="J33" s="534">
        <v>147025</v>
      </c>
      <c r="K33" s="534">
        <v>2046104</v>
      </c>
      <c r="L33" s="534">
        <v>1002191</v>
      </c>
      <c r="M33" s="534">
        <v>2917095</v>
      </c>
      <c r="O33" s="487">
        <f t="shared" si="1"/>
        <v>18016</v>
      </c>
      <c r="P33" s="304">
        <f t="shared" si="0"/>
        <v>8.8050265284658064E-3</v>
      </c>
      <c r="Q33" s="474">
        <f t="shared" si="2"/>
        <v>4216</v>
      </c>
      <c r="R33" s="474">
        <f t="shared" si="5"/>
        <v>104107</v>
      </c>
      <c r="T33" s="548">
        <v>66</v>
      </c>
      <c r="U33" s="522">
        <v>31</v>
      </c>
      <c r="V33" s="542">
        <v>-70025</v>
      </c>
      <c r="W33" s="523">
        <v>0</v>
      </c>
      <c r="X33" s="523">
        <v>1496</v>
      </c>
      <c r="Y33" s="523">
        <v>6570</v>
      </c>
      <c r="Z33" s="523">
        <v>0</v>
      </c>
      <c r="AA33" s="523">
        <v>0</v>
      </c>
      <c r="AB33" s="523">
        <v>120</v>
      </c>
      <c r="AC33" s="523">
        <v>69996</v>
      </c>
      <c r="AD33" s="523">
        <v>974309</v>
      </c>
      <c r="AE33" s="523">
        <v>366078</v>
      </c>
      <c r="AF33" s="523">
        <v>1277893</v>
      </c>
      <c r="AH33" s="1"/>
      <c r="AJ33" s="1"/>
      <c r="AK33" s="1"/>
      <c r="AL33" s="545">
        <f t="shared" si="7"/>
        <v>-70025</v>
      </c>
      <c r="AM33" s="316">
        <f t="shared" si="8"/>
        <v>611418.46373406402</v>
      </c>
      <c r="AN33" s="34">
        <f>PMT(AN32,30,AO32,-AF62,1)</f>
        <v>-35236.466433865244</v>
      </c>
      <c r="AO33" s="318">
        <f>(AO32+AN33)*(1+AN$32)</f>
        <v>743363.1985667214</v>
      </c>
      <c r="AP33" s="34">
        <f>PMT(AP32,30,AQ32,-AF$62,1)</f>
        <v>-25890.976524470545</v>
      </c>
      <c r="AQ33" s="312">
        <f>(AQ32+AP$33)*(1+AP$32)</f>
        <v>738367.9065098369</v>
      </c>
    </row>
    <row r="34" spans="1:43" ht="13.8" thickBot="1">
      <c r="A34" s="535">
        <v>67</v>
      </c>
      <c r="B34" s="535">
        <v>32</v>
      </c>
      <c r="C34" s="535">
        <v>-145025</v>
      </c>
      <c r="D34" s="536">
        <v>0</v>
      </c>
      <c r="E34" s="536">
        <v>4011</v>
      </c>
      <c r="F34" s="536">
        <v>13684</v>
      </c>
      <c r="G34" s="536">
        <v>0</v>
      </c>
      <c r="H34" s="536">
        <v>0</v>
      </c>
      <c r="I34" s="536">
        <v>120</v>
      </c>
      <c r="J34" s="536">
        <v>145799</v>
      </c>
      <c r="K34" s="536">
        <v>2029063</v>
      </c>
      <c r="L34" s="536">
        <v>873142</v>
      </c>
      <c r="M34" s="536">
        <v>2772095</v>
      </c>
      <c r="O34" s="487">
        <f t="shared" si="1"/>
        <v>17815</v>
      </c>
      <c r="P34" s="304">
        <f t="shared" si="0"/>
        <v>8.7799146699732832E-3</v>
      </c>
      <c r="Q34" s="474">
        <f t="shared" si="2"/>
        <v>4131</v>
      </c>
      <c r="R34" s="474">
        <f t="shared" si="5"/>
        <v>108238</v>
      </c>
      <c r="T34" s="549">
        <v>67</v>
      </c>
      <c r="U34" s="524">
        <v>32</v>
      </c>
      <c r="V34" s="541">
        <v>-70025</v>
      </c>
      <c r="W34" s="525">
        <v>0</v>
      </c>
      <c r="X34" s="525">
        <v>1398</v>
      </c>
      <c r="Y34" s="525">
        <v>6511</v>
      </c>
      <c r="Z34" s="525">
        <v>0</v>
      </c>
      <c r="AA34" s="525">
        <v>0</v>
      </c>
      <c r="AB34" s="525">
        <v>120</v>
      </c>
      <c r="AC34" s="525">
        <v>69370</v>
      </c>
      <c r="AD34" s="525">
        <v>965626</v>
      </c>
      <c r="AE34" s="525">
        <v>304209</v>
      </c>
      <c r="AF34" s="525">
        <v>1207893</v>
      </c>
      <c r="AH34" s="1"/>
      <c r="AI34" s="318"/>
      <c r="AJ34" s="1"/>
      <c r="AK34" s="1"/>
      <c r="AL34" s="545">
        <f t="shared" si="7"/>
        <v>-70025</v>
      </c>
      <c r="AM34" s="316">
        <f t="shared" si="8"/>
        <v>583080.76044158696</v>
      </c>
      <c r="AN34" s="34">
        <f>AN33</f>
        <v>-35236.466433865244</v>
      </c>
      <c r="AO34" s="318">
        <f t="shared" ref="AO34:AO62" si="10">(AO33+AN34)*(1+AN$32)</f>
        <v>729370.53409684182</v>
      </c>
      <c r="AP34" s="34">
        <f>AP33</f>
        <v>-25890.976524470545</v>
      </c>
      <c r="AQ34" s="312">
        <f t="shared" ref="AQ34:AQ62" si="11">(AQ33+AP$33)*(1+AP$32)</f>
        <v>719601.69928522012</v>
      </c>
    </row>
    <row r="35" spans="1:43" ht="13.8" thickBot="1">
      <c r="A35" s="533">
        <v>68</v>
      </c>
      <c r="B35" s="533">
        <v>33</v>
      </c>
      <c r="C35" s="533">
        <v>-145025</v>
      </c>
      <c r="D35" s="534">
        <v>0</v>
      </c>
      <c r="E35" s="534">
        <v>3854</v>
      </c>
      <c r="F35" s="534">
        <v>13562</v>
      </c>
      <c r="G35" s="534">
        <v>0</v>
      </c>
      <c r="H35" s="534">
        <v>0</v>
      </c>
      <c r="I35" s="534">
        <v>120</v>
      </c>
      <c r="J35" s="534">
        <v>144497</v>
      </c>
      <c r="K35" s="534">
        <v>2011000</v>
      </c>
      <c r="L35" s="534">
        <v>745053</v>
      </c>
      <c r="M35" s="534">
        <v>2627095</v>
      </c>
      <c r="O35" s="487">
        <f t="shared" si="1"/>
        <v>17536</v>
      </c>
      <c r="P35" s="304">
        <f t="shared" ref="P35:P52" si="12">O35/K35</f>
        <v>8.7200397812033821E-3</v>
      </c>
      <c r="Q35" s="474">
        <f t="shared" ref="Q35:Q67" si="13">O35-F35</f>
        <v>3974</v>
      </c>
      <c r="R35" s="474">
        <f t="shared" si="5"/>
        <v>112212</v>
      </c>
      <c r="T35" s="548">
        <v>68</v>
      </c>
      <c r="U35" s="522">
        <v>33</v>
      </c>
      <c r="V35" s="542">
        <v>-70025</v>
      </c>
      <c r="W35" s="523">
        <v>0</v>
      </c>
      <c r="X35" s="523">
        <v>1256</v>
      </c>
      <c r="Y35" s="523">
        <v>6449</v>
      </c>
      <c r="Z35" s="523">
        <v>0</v>
      </c>
      <c r="AA35" s="523">
        <v>0</v>
      </c>
      <c r="AB35" s="523">
        <v>120</v>
      </c>
      <c r="AC35" s="523">
        <v>68709</v>
      </c>
      <c r="AD35" s="523">
        <v>956485</v>
      </c>
      <c r="AE35" s="523">
        <v>242770</v>
      </c>
      <c r="AF35" s="523">
        <v>1137893</v>
      </c>
      <c r="AH35" s="1"/>
      <c r="AI35" s="318"/>
      <c r="AJ35" s="1"/>
      <c r="AK35" s="1"/>
      <c r="AL35" s="545">
        <f t="shared" si="7"/>
        <v>-70025</v>
      </c>
      <c r="AM35" s="316">
        <f t="shared" si="8"/>
        <v>552561.05399558914</v>
      </c>
      <c r="AN35" s="34">
        <f t="shared" ref="AN35:AN62" si="14">AN34</f>
        <v>-35236.466433865244</v>
      </c>
      <c r="AO35" s="318">
        <f t="shared" si="10"/>
        <v>714958.08969286585</v>
      </c>
      <c r="AP35" s="34">
        <f t="shared" ref="AP35:AP62" si="15">AP34</f>
        <v>-25890.976524470545</v>
      </c>
      <c r="AQ35" s="312">
        <f t="shared" si="11"/>
        <v>700647.82998835715</v>
      </c>
    </row>
    <row r="36" spans="1:43" ht="13.8" thickBot="1">
      <c r="A36" s="535">
        <v>69</v>
      </c>
      <c r="B36" s="535">
        <v>34</v>
      </c>
      <c r="C36" s="535">
        <v>-145025</v>
      </c>
      <c r="D36" s="536">
        <v>0</v>
      </c>
      <c r="E36" s="536">
        <v>3602</v>
      </c>
      <c r="F36" s="536">
        <v>13433</v>
      </c>
      <c r="G36" s="536">
        <v>0</v>
      </c>
      <c r="H36" s="536">
        <v>0</v>
      </c>
      <c r="I36" s="536">
        <v>120</v>
      </c>
      <c r="J36" s="536">
        <v>143121</v>
      </c>
      <c r="K36" s="536">
        <v>1991941</v>
      </c>
      <c r="L36" s="536">
        <v>617901</v>
      </c>
      <c r="M36" s="536">
        <v>2482095</v>
      </c>
      <c r="O36" s="487">
        <f t="shared" si="1"/>
        <v>17155</v>
      </c>
      <c r="P36" s="304">
        <f t="shared" si="12"/>
        <v>8.6122028714705912E-3</v>
      </c>
      <c r="Q36" s="474">
        <f t="shared" si="13"/>
        <v>3722</v>
      </c>
      <c r="R36" s="474">
        <f t="shared" si="5"/>
        <v>115934</v>
      </c>
      <c r="T36" s="549">
        <v>69</v>
      </c>
      <c r="U36" s="524">
        <v>34</v>
      </c>
      <c r="V36" s="541">
        <v>-70025</v>
      </c>
      <c r="W36" s="525">
        <v>0</v>
      </c>
      <c r="X36" s="525">
        <v>1060</v>
      </c>
      <c r="Y36" s="525">
        <v>6383</v>
      </c>
      <c r="Z36" s="525">
        <v>0</v>
      </c>
      <c r="AA36" s="525">
        <v>0</v>
      </c>
      <c r="AB36" s="525">
        <v>120</v>
      </c>
      <c r="AC36" s="525">
        <v>68015</v>
      </c>
      <c r="AD36" s="525">
        <v>946912</v>
      </c>
      <c r="AE36" s="525">
        <v>181738</v>
      </c>
      <c r="AF36" s="525">
        <v>1098418</v>
      </c>
      <c r="AH36" s="1"/>
      <c r="AI36" s="318"/>
      <c r="AJ36" s="1"/>
      <c r="AK36" s="1"/>
      <c r="AL36" s="545">
        <f t="shared" si="7"/>
        <v>-70025</v>
      </c>
      <c r="AM36" s="316">
        <f t="shared" si="8"/>
        <v>519691.3301532495</v>
      </c>
      <c r="AN36" s="34">
        <f t="shared" si="14"/>
        <v>-35236.466433865244</v>
      </c>
      <c r="AO36" s="318">
        <f t="shared" si="10"/>
        <v>700113.27195677068</v>
      </c>
      <c r="AP36" s="34">
        <f t="shared" si="15"/>
        <v>-25890.976524470545</v>
      </c>
      <c r="AQ36" s="312">
        <f t="shared" si="11"/>
        <v>681504.4219985255</v>
      </c>
    </row>
    <row r="37" spans="1:43" ht="13.8" thickBot="1">
      <c r="A37" s="533">
        <v>70</v>
      </c>
      <c r="B37" s="533">
        <v>35</v>
      </c>
      <c r="C37" s="533">
        <v>-145025</v>
      </c>
      <c r="D37" s="534">
        <v>0</v>
      </c>
      <c r="E37" s="534">
        <v>3231</v>
      </c>
      <c r="F37" s="534">
        <v>13297</v>
      </c>
      <c r="G37" s="534">
        <v>0</v>
      </c>
      <c r="H37" s="534">
        <v>0</v>
      </c>
      <c r="I37" s="534">
        <v>120</v>
      </c>
      <c r="J37" s="534">
        <v>141764</v>
      </c>
      <c r="K37" s="534">
        <v>1977032</v>
      </c>
      <c r="L37" s="534">
        <v>491543</v>
      </c>
      <c r="M37" s="534">
        <v>2336995</v>
      </c>
      <c r="O37" s="487">
        <f t="shared" si="1"/>
        <v>16648</v>
      </c>
      <c r="P37" s="304">
        <f t="shared" si="12"/>
        <v>8.4207033573558757E-3</v>
      </c>
      <c r="Q37" s="474">
        <f t="shared" si="13"/>
        <v>3351</v>
      </c>
      <c r="R37" s="474">
        <f t="shared" si="5"/>
        <v>119285</v>
      </c>
      <c r="T37" s="548">
        <v>70</v>
      </c>
      <c r="U37" s="522">
        <v>35</v>
      </c>
      <c r="V37" s="542">
        <v>-70025</v>
      </c>
      <c r="W37" s="523">
        <v>0</v>
      </c>
      <c r="X37" s="523">
        <v>986</v>
      </c>
      <c r="Y37" s="523">
        <v>6315</v>
      </c>
      <c r="Z37" s="523">
        <v>0</v>
      </c>
      <c r="AA37" s="523">
        <v>0</v>
      </c>
      <c r="AB37" s="523">
        <v>120</v>
      </c>
      <c r="AC37" s="523">
        <v>68345</v>
      </c>
      <c r="AD37" s="523">
        <v>995812</v>
      </c>
      <c r="AE37" s="523">
        <v>149713</v>
      </c>
      <c r="AF37" s="523">
        <v>1086023</v>
      </c>
      <c r="AH37" s="1"/>
      <c r="AI37" s="1"/>
      <c r="AJ37" s="1"/>
      <c r="AK37" s="1"/>
      <c r="AL37" s="545">
        <f t="shared" si="7"/>
        <v>-70025</v>
      </c>
      <c r="AM37" s="316">
        <f t="shared" si="8"/>
        <v>484290.63757504971</v>
      </c>
      <c r="AN37" s="34">
        <f t="shared" si="14"/>
        <v>-35236.466433865244</v>
      </c>
      <c r="AO37" s="318">
        <f t="shared" si="10"/>
        <v>684823.10968859261</v>
      </c>
      <c r="AP37" s="34">
        <f t="shared" si="15"/>
        <v>-25890.976524470545</v>
      </c>
      <c r="AQ37" s="312">
        <f t="shared" si="11"/>
        <v>662169.57992879557</v>
      </c>
    </row>
    <row r="38" spans="1:43" ht="13.8" thickBot="1">
      <c r="A38" s="535">
        <v>71</v>
      </c>
      <c r="B38" s="535">
        <v>36</v>
      </c>
      <c r="C38" s="535">
        <v>-145000</v>
      </c>
      <c r="D38" s="536">
        <v>0</v>
      </c>
      <c r="E38" s="536">
        <v>2707</v>
      </c>
      <c r="F38" s="536">
        <v>13154</v>
      </c>
      <c r="G38" s="536">
        <v>0</v>
      </c>
      <c r="H38" s="536">
        <v>0</v>
      </c>
      <c r="I38" s="536">
        <v>120</v>
      </c>
      <c r="J38" s="536">
        <v>142917</v>
      </c>
      <c r="K38" s="536">
        <v>2103968</v>
      </c>
      <c r="L38" s="536">
        <v>363297</v>
      </c>
      <c r="M38" s="536">
        <v>2224382</v>
      </c>
      <c r="O38" s="487">
        <f t="shared" si="1"/>
        <v>15981</v>
      </c>
      <c r="P38" s="304">
        <f t="shared" si="12"/>
        <v>7.5956478425527382E-3</v>
      </c>
      <c r="Q38" s="474">
        <f t="shared" si="13"/>
        <v>2827</v>
      </c>
      <c r="R38" s="474">
        <f t="shared" si="5"/>
        <v>122112</v>
      </c>
      <c r="T38" s="549">
        <v>71</v>
      </c>
      <c r="U38" s="524">
        <v>36</v>
      </c>
      <c r="V38" s="541">
        <v>-70000</v>
      </c>
      <c r="W38" s="525">
        <v>0</v>
      </c>
      <c r="X38" s="525">
        <v>1114</v>
      </c>
      <c r="Y38" s="525">
        <v>6241</v>
      </c>
      <c r="Z38" s="525">
        <v>0</v>
      </c>
      <c r="AA38" s="525">
        <v>0</v>
      </c>
      <c r="AB38" s="525">
        <v>120</v>
      </c>
      <c r="AC38" s="525">
        <v>68958</v>
      </c>
      <c r="AD38" s="525">
        <v>1057296</v>
      </c>
      <c r="AE38" s="525">
        <v>149686</v>
      </c>
      <c r="AF38" s="525">
        <v>1063001</v>
      </c>
      <c r="AH38" s="1"/>
      <c r="AI38" s="1"/>
      <c r="AJ38" s="1"/>
      <c r="AK38" s="1"/>
      <c r="AL38" s="545">
        <f t="shared" si="7"/>
        <v>-70000</v>
      </c>
      <c r="AM38" s="316">
        <f t="shared" si="8"/>
        <v>446191.01666832849</v>
      </c>
      <c r="AN38" s="34">
        <f t="shared" si="14"/>
        <v>-35236.466433865244</v>
      </c>
      <c r="AO38" s="318">
        <f t="shared" si="10"/>
        <v>669074.24255236925</v>
      </c>
      <c r="AP38" s="34">
        <f t="shared" si="15"/>
        <v>-25890.976524470545</v>
      </c>
      <c r="AQ38" s="312">
        <f t="shared" si="11"/>
        <v>642641.38943836838</v>
      </c>
    </row>
    <row r="39" spans="1:43" ht="13.8" thickBot="1">
      <c r="A39" s="533">
        <v>72</v>
      </c>
      <c r="B39" s="533">
        <v>37</v>
      </c>
      <c r="C39" s="533">
        <v>-145000</v>
      </c>
      <c r="D39" s="534">
        <v>0</v>
      </c>
      <c r="E39" s="534">
        <v>2305</v>
      </c>
      <c r="F39" s="534">
        <v>13004</v>
      </c>
      <c r="G39" s="534">
        <v>0</v>
      </c>
      <c r="H39" s="534">
        <v>0</v>
      </c>
      <c r="I39" s="534">
        <v>120</v>
      </c>
      <c r="J39" s="534">
        <v>144276</v>
      </c>
      <c r="K39" s="534">
        <v>2232815</v>
      </c>
      <c r="L39" s="534">
        <v>274176</v>
      </c>
      <c r="M39" s="534">
        <v>2174361</v>
      </c>
      <c r="O39" s="487">
        <f t="shared" si="1"/>
        <v>15429</v>
      </c>
      <c r="P39" s="304">
        <f t="shared" si="12"/>
        <v>6.910111227307233E-3</v>
      </c>
      <c r="Q39" s="474">
        <f t="shared" si="13"/>
        <v>2425</v>
      </c>
      <c r="R39" s="474">
        <f t="shared" si="5"/>
        <v>124537</v>
      </c>
      <c r="T39" s="548">
        <v>72</v>
      </c>
      <c r="U39" s="522">
        <v>37</v>
      </c>
      <c r="V39" s="542">
        <v>-70000</v>
      </c>
      <c r="W39" s="523">
        <v>0</v>
      </c>
      <c r="X39" s="523">
        <v>1159</v>
      </c>
      <c r="Y39" s="523">
        <v>6160</v>
      </c>
      <c r="Z39" s="523">
        <v>0</v>
      </c>
      <c r="AA39" s="523">
        <v>0</v>
      </c>
      <c r="AB39" s="523">
        <v>120</v>
      </c>
      <c r="AC39" s="523">
        <v>69557</v>
      </c>
      <c r="AD39" s="523">
        <v>1119413</v>
      </c>
      <c r="AE39" s="523">
        <v>137903</v>
      </c>
      <c r="AF39" s="523">
        <v>1036770</v>
      </c>
      <c r="AH39" s="1"/>
      <c r="AI39" s="1"/>
      <c r="AJ39" s="1"/>
      <c r="AK39" s="1"/>
      <c r="AL39" s="545">
        <f t="shared" si="7"/>
        <v>-70000</v>
      </c>
      <c r="AM39" s="316">
        <f t="shared" si="8"/>
        <v>405157.72495178977</v>
      </c>
      <c r="AN39" s="34">
        <f t="shared" si="14"/>
        <v>-35236.466433865244</v>
      </c>
      <c r="AO39" s="318">
        <f t="shared" si="10"/>
        <v>652852.90940205916</v>
      </c>
      <c r="AP39" s="34">
        <f t="shared" si="15"/>
        <v>-25890.976524470545</v>
      </c>
      <c r="AQ39" s="312">
        <f t="shared" si="11"/>
        <v>622917.9170430369</v>
      </c>
    </row>
    <row r="40" spans="1:43" ht="13.8" thickBot="1">
      <c r="A40" s="535">
        <v>73</v>
      </c>
      <c r="B40" s="535">
        <v>38</v>
      </c>
      <c r="C40" s="535">
        <v>-145000</v>
      </c>
      <c r="D40" s="536">
        <v>0</v>
      </c>
      <c r="E40" s="536">
        <v>2340</v>
      </c>
      <c r="F40" s="536">
        <v>12845</v>
      </c>
      <c r="G40" s="536">
        <v>0</v>
      </c>
      <c r="H40" s="536">
        <v>0</v>
      </c>
      <c r="I40" s="536">
        <v>120</v>
      </c>
      <c r="J40" s="536">
        <v>145597</v>
      </c>
      <c r="K40" s="536">
        <v>2363107</v>
      </c>
      <c r="L40" s="536">
        <v>246495</v>
      </c>
      <c r="M40" s="536">
        <v>2117742</v>
      </c>
      <c r="O40" s="487">
        <f t="shared" si="1"/>
        <v>15305</v>
      </c>
      <c r="P40" s="304">
        <f t="shared" si="12"/>
        <v>6.4766428265838156E-3</v>
      </c>
      <c r="Q40" s="474">
        <f t="shared" si="13"/>
        <v>2460</v>
      </c>
      <c r="R40" s="474">
        <f t="shared" si="5"/>
        <v>126997</v>
      </c>
      <c r="T40" s="549">
        <v>73</v>
      </c>
      <c r="U40" s="524">
        <v>38</v>
      </c>
      <c r="V40" s="541">
        <v>-70000</v>
      </c>
      <c r="W40" s="525">
        <v>0</v>
      </c>
      <c r="X40" s="525">
        <v>1174</v>
      </c>
      <c r="Y40" s="525">
        <v>6074</v>
      </c>
      <c r="Z40" s="525">
        <v>0</v>
      </c>
      <c r="AA40" s="525">
        <v>0</v>
      </c>
      <c r="AB40" s="525">
        <v>120</v>
      </c>
      <c r="AC40" s="525">
        <v>70122</v>
      </c>
      <c r="AD40" s="525">
        <v>1182167</v>
      </c>
      <c r="AE40" s="525">
        <v>123680</v>
      </c>
      <c r="AF40" s="525">
        <v>1007268</v>
      </c>
      <c r="AH40" s="1"/>
      <c r="AI40" s="1"/>
      <c r="AJ40" s="1"/>
      <c r="AK40" s="1"/>
      <c r="AL40" s="545">
        <f t="shared" si="7"/>
        <v>-70000</v>
      </c>
      <c r="AM40" s="316">
        <f t="shared" si="8"/>
        <v>360964.86977307755</v>
      </c>
      <c r="AN40" s="34">
        <f t="shared" si="14"/>
        <v>-35236.466433865244</v>
      </c>
      <c r="AO40" s="318">
        <f t="shared" si="10"/>
        <v>636144.93625723978</v>
      </c>
      <c r="AP40" s="34">
        <f t="shared" si="15"/>
        <v>-25890.976524470545</v>
      </c>
      <c r="AQ40" s="312">
        <f t="shared" si="11"/>
        <v>602997.20992375212</v>
      </c>
    </row>
    <row r="41" spans="1:43" ht="13.8" thickBot="1">
      <c r="A41" s="533">
        <v>74</v>
      </c>
      <c r="B41" s="533">
        <v>39</v>
      </c>
      <c r="C41" s="533">
        <v>-145000</v>
      </c>
      <c r="D41" s="534">
        <v>0</v>
      </c>
      <c r="E41" s="534">
        <v>2291</v>
      </c>
      <c r="F41" s="534">
        <v>12674</v>
      </c>
      <c r="G41" s="534">
        <v>0</v>
      </c>
      <c r="H41" s="534">
        <v>0</v>
      </c>
      <c r="I41" s="534">
        <v>120</v>
      </c>
      <c r="J41" s="534">
        <v>146861</v>
      </c>
      <c r="K41" s="534">
        <v>2494883</v>
      </c>
      <c r="L41" s="534">
        <v>213683</v>
      </c>
      <c r="M41" s="534">
        <v>2054418</v>
      </c>
      <c r="O41" s="487">
        <f t="shared" si="1"/>
        <v>15085</v>
      </c>
      <c r="P41" s="304">
        <f t="shared" si="12"/>
        <v>6.046375721827436E-3</v>
      </c>
      <c r="Q41" s="474">
        <f t="shared" si="13"/>
        <v>2411</v>
      </c>
      <c r="R41" s="474">
        <f t="shared" si="5"/>
        <v>129408</v>
      </c>
      <c r="T41" s="548">
        <v>74</v>
      </c>
      <c r="U41" s="522">
        <v>39</v>
      </c>
      <c r="V41" s="542">
        <v>-70000</v>
      </c>
      <c r="W41" s="523">
        <v>0</v>
      </c>
      <c r="X41" s="523">
        <v>1147</v>
      </c>
      <c r="Y41" s="523">
        <v>5983</v>
      </c>
      <c r="Z41" s="523">
        <v>0</v>
      </c>
      <c r="AA41" s="523">
        <v>0</v>
      </c>
      <c r="AB41" s="523">
        <v>120</v>
      </c>
      <c r="AC41" s="523">
        <v>70654</v>
      </c>
      <c r="AD41" s="523">
        <v>1245572</v>
      </c>
      <c r="AE41" s="523">
        <v>106978</v>
      </c>
      <c r="AF41" s="523">
        <v>974443</v>
      </c>
      <c r="AH41" s="1"/>
      <c r="AI41" s="1"/>
      <c r="AJ41" s="1"/>
      <c r="AK41" s="1"/>
      <c r="AL41" s="545">
        <f t="shared" si="7"/>
        <v>-70000</v>
      </c>
      <c r="AM41" s="316">
        <f t="shared" si="8"/>
        <v>313369.1647456045</v>
      </c>
      <c r="AN41" s="34">
        <f t="shared" si="14"/>
        <v>-35236.466433865244</v>
      </c>
      <c r="AO41" s="318">
        <f t="shared" si="10"/>
        <v>618935.72391807579</v>
      </c>
      <c r="AP41" s="34">
        <f t="shared" si="15"/>
        <v>-25890.976524470545</v>
      </c>
      <c r="AQ41" s="312">
        <f t="shared" si="11"/>
        <v>582877.29573327443</v>
      </c>
    </row>
    <row r="42" spans="1:43" ht="13.8" thickBot="1">
      <c r="A42" s="535">
        <v>75</v>
      </c>
      <c r="B42" s="535">
        <v>40</v>
      </c>
      <c r="C42" s="535">
        <v>-145000</v>
      </c>
      <c r="D42" s="536">
        <v>0</v>
      </c>
      <c r="E42" s="536">
        <v>2127</v>
      </c>
      <c r="F42" s="536">
        <v>12492</v>
      </c>
      <c r="G42" s="536">
        <v>0</v>
      </c>
      <c r="H42" s="536">
        <v>0</v>
      </c>
      <c r="I42" s="536">
        <v>120</v>
      </c>
      <c r="J42" s="536">
        <v>148068</v>
      </c>
      <c r="K42" s="536">
        <v>2628212</v>
      </c>
      <c r="L42" s="536">
        <v>175651</v>
      </c>
      <c r="M42" s="536">
        <v>1984315</v>
      </c>
      <c r="O42" s="487">
        <f t="shared" si="1"/>
        <v>14739</v>
      </c>
      <c r="P42" s="304">
        <f t="shared" si="12"/>
        <v>5.6079950932420974E-3</v>
      </c>
      <c r="Q42" s="474">
        <f t="shared" si="13"/>
        <v>2247</v>
      </c>
      <c r="R42" s="474">
        <f t="shared" si="5"/>
        <v>131655</v>
      </c>
      <c r="T42" s="549">
        <v>75</v>
      </c>
      <c r="U42" s="524">
        <v>40</v>
      </c>
      <c r="V42" s="541">
        <v>-70000</v>
      </c>
      <c r="W42" s="525">
        <v>0</v>
      </c>
      <c r="X42" s="525">
        <v>1062</v>
      </c>
      <c r="Y42" s="525">
        <v>5885</v>
      </c>
      <c r="Z42" s="525">
        <v>0</v>
      </c>
      <c r="AA42" s="525">
        <v>0</v>
      </c>
      <c r="AB42" s="525">
        <v>120</v>
      </c>
      <c r="AC42" s="525">
        <v>71153</v>
      </c>
      <c r="AD42" s="525">
        <v>1309659</v>
      </c>
      <c r="AE42" s="525">
        <v>87756</v>
      </c>
      <c r="AF42" s="525">
        <v>938256</v>
      </c>
      <c r="AH42" s="1"/>
      <c r="AI42" s="1"/>
      <c r="AJ42" s="1"/>
      <c r="AK42" s="1"/>
      <c r="AL42" s="545">
        <f t="shared" si="7"/>
        <v>-70000</v>
      </c>
      <c r="AM42" s="316">
        <f t="shared" si="8"/>
        <v>262108.59043101603</v>
      </c>
      <c r="AN42" s="34">
        <f t="shared" si="14"/>
        <v>-35236.466433865244</v>
      </c>
      <c r="AO42" s="318">
        <f t="shared" si="10"/>
        <v>601210.23520873685</v>
      </c>
      <c r="AP42" s="34">
        <f t="shared" si="15"/>
        <v>-25890.976524470545</v>
      </c>
      <c r="AQ42" s="312">
        <f t="shared" si="11"/>
        <v>562556.18240089202</v>
      </c>
    </row>
    <row r="43" spans="1:43" ht="13.8" thickBot="1">
      <c r="A43" s="533">
        <v>76</v>
      </c>
      <c r="B43" s="533">
        <v>41</v>
      </c>
      <c r="C43" s="533">
        <v>-145000</v>
      </c>
      <c r="D43" s="534">
        <v>0</v>
      </c>
      <c r="E43" s="534">
        <v>1807</v>
      </c>
      <c r="F43" s="534">
        <v>12300</v>
      </c>
      <c r="G43" s="534">
        <v>0</v>
      </c>
      <c r="H43" s="534">
        <v>0</v>
      </c>
      <c r="I43" s="534">
        <v>120</v>
      </c>
      <c r="J43" s="534">
        <v>149222</v>
      </c>
      <c r="K43" s="534">
        <v>2763208</v>
      </c>
      <c r="L43" s="534">
        <v>132305</v>
      </c>
      <c r="M43" s="534">
        <v>1962653</v>
      </c>
      <c r="O43" s="487">
        <f t="shared" si="1"/>
        <v>14227</v>
      </c>
      <c r="P43" s="304">
        <f t="shared" si="12"/>
        <v>5.1487256840599769E-3</v>
      </c>
      <c r="Q43" s="474">
        <f t="shared" si="13"/>
        <v>1927</v>
      </c>
      <c r="R43" s="474">
        <f t="shared" si="5"/>
        <v>133582</v>
      </c>
      <c r="T43" s="548">
        <v>76</v>
      </c>
      <c r="U43" s="522">
        <v>41</v>
      </c>
      <c r="V43" s="542">
        <v>-70000</v>
      </c>
      <c r="W43" s="523">
        <v>0</v>
      </c>
      <c r="X43" s="523">
        <v>900</v>
      </c>
      <c r="Y43" s="523">
        <v>5781</v>
      </c>
      <c r="Z43" s="523">
        <v>0</v>
      </c>
      <c r="AA43" s="523">
        <v>0</v>
      </c>
      <c r="AB43" s="523">
        <v>120</v>
      </c>
      <c r="AC43" s="523">
        <v>71620</v>
      </c>
      <c r="AD43" s="523">
        <v>1374476</v>
      </c>
      <c r="AE43" s="523">
        <v>65972</v>
      </c>
      <c r="AF43" s="523">
        <v>926176</v>
      </c>
      <c r="AH43" s="1"/>
      <c r="AI43" s="1"/>
      <c r="AJ43" s="1"/>
      <c r="AK43" s="1"/>
      <c r="AL43" s="545">
        <f t="shared" si="7"/>
        <v>-70000</v>
      </c>
      <c r="AM43" s="316">
        <f t="shared" si="8"/>
        <v>206900.95189420425</v>
      </c>
      <c r="AN43" s="34">
        <f t="shared" si="14"/>
        <v>-35236.466433865244</v>
      </c>
      <c r="AO43" s="318">
        <f t="shared" si="10"/>
        <v>582952.9818381177</v>
      </c>
      <c r="AP43" s="34">
        <f t="shared" si="15"/>
        <v>-25890.976524470545</v>
      </c>
      <c r="AQ43" s="312">
        <f t="shared" si="11"/>
        <v>542031.85793518578</v>
      </c>
    </row>
    <row r="44" spans="1:43" ht="13.8" thickBot="1">
      <c r="A44" s="535">
        <v>77</v>
      </c>
      <c r="B44" s="535">
        <v>42</v>
      </c>
      <c r="C44" s="535">
        <v>-145000</v>
      </c>
      <c r="D44" s="536">
        <v>0</v>
      </c>
      <c r="E44" s="536">
        <v>2176</v>
      </c>
      <c r="F44" s="536">
        <v>12094</v>
      </c>
      <c r="G44" s="536">
        <v>0</v>
      </c>
      <c r="H44" s="536">
        <v>0</v>
      </c>
      <c r="I44" s="536">
        <v>120</v>
      </c>
      <c r="J44" s="536">
        <v>150297</v>
      </c>
      <c r="K44" s="536">
        <v>2899115</v>
      </c>
      <c r="L44" s="536">
        <v>139201</v>
      </c>
      <c r="M44" s="536">
        <v>1938681</v>
      </c>
      <c r="O44" s="487">
        <f t="shared" si="1"/>
        <v>14390</v>
      </c>
      <c r="P44" s="304">
        <f t="shared" si="12"/>
        <v>4.9635837143404112E-3</v>
      </c>
      <c r="Q44" s="474">
        <f t="shared" si="13"/>
        <v>2296</v>
      </c>
      <c r="R44" s="474">
        <f t="shared" si="5"/>
        <v>135878</v>
      </c>
      <c r="T44" s="549">
        <v>77</v>
      </c>
      <c r="U44" s="524">
        <v>42</v>
      </c>
      <c r="V44" s="541">
        <v>-70000</v>
      </c>
      <c r="W44" s="525">
        <v>0</v>
      </c>
      <c r="X44" s="525">
        <v>1083</v>
      </c>
      <c r="Y44" s="525">
        <v>5670</v>
      </c>
      <c r="Z44" s="525">
        <v>0</v>
      </c>
      <c r="AA44" s="525">
        <v>0</v>
      </c>
      <c r="AB44" s="525">
        <v>120</v>
      </c>
      <c r="AC44" s="525">
        <v>72040</v>
      </c>
      <c r="AD44" s="525">
        <v>1439644</v>
      </c>
      <c r="AE44" s="525">
        <v>69285</v>
      </c>
      <c r="AF44" s="525">
        <v>912862</v>
      </c>
      <c r="AH44" s="1"/>
      <c r="AI44" s="1"/>
      <c r="AJ44" s="1"/>
      <c r="AK44" s="1"/>
      <c r="AL44" s="545">
        <f t="shared" si="7"/>
        <v>-70000</v>
      </c>
      <c r="AM44" s="316">
        <f t="shared" si="8"/>
        <v>147442.32519005798</v>
      </c>
      <c r="AN44" s="34">
        <f t="shared" si="14"/>
        <v>-35236.466433865244</v>
      </c>
      <c r="AO44" s="318">
        <f t="shared" si="10"/>
        <v>564148.01086638006</v>
      </c>
      <c r="AP44" s="34">
        <f t="shared" si="15"/>
        <v>-25890.976524470545</v>
      </c>
      <c r="AQ44" s="312">
        <f t="shared" si="11"/>
        <v>521302.29022482241</v>
      </c>
    </row>
    <row r="45" spans="1:43" ht="13.8" thickBot="1">
      <c r="A45" s="533">
        <v>78</v>
      </c>
      <c r="B45" s="533">
        <v>43</v>
      </c>
      <c r="C45" s="533">
        <v>-145000</v>
      </c>
      <c r="D45" s="534">
        <v>0</v>
      </c>
      <c r="E45" s="534">
        <v>2611</v>
      </c>
      <c r="F45" s="534">
        <v>11871</v>
      </c>
      <c r="G45" s="534">
        <v>0</v>
      </c>
      <c r="H45" s="534">
        <v>0</v>
      </c>
      <c r="I45" s="534">
        <v>120</v>
      </c>
      <c r="J45" s="534">
        <v>151253</v>
      </c>
      <c r="K45" s="534">
        <v>3035766</v>
      </c>
      <c r="L45" s="534">
        <v>146141</v>
      </c>
      <c r="M45" s="534">
        <v>1912157</v>
      </c>
      <c r="O45" s="487">
        <f t="shared" si="1"/>
        <v>14602</v>
      </c>
      <c r="P45" s="304">
        <f t="shared" si="12"/>
        <v>4.8099886486639614E-3</v>
      </c>
      <c r="Q45" s="474">
        <f t="shared" si="13"/>
        <v>2731</v>
      </c>
      <c r="R45" s="474">
        <f t="shared" si="5"/>
        <v>138609</v>
      </c>
      <c r="T45" s="548">
        <v>78</v>
      </c>
      <c r="U45" s="522">
        <v>43</v>
      </c>
      <c r="V45" s="542">
        <v>-70000</v>
      </c>
      <c r="W45" s="523">
        <v>0</v>
      </c>
      <c r="X45" s="523">
        <v>1298</v>
      </c>
      <c r="Y45" s="523">
        <v>5550</v>
      </c>
      <c r="Z45" s="523">
        <v>0</v>
      </c>
      <c r="AA45" s="523">
        <v>0</v>
      </c>
      <c r="AB45" s="523">
        <v>120</v>
      </c>
      <c r="AC45" s="523">
        <v>72395</v>
      </c>
      <c r="AD45" s="523">
        <v>1505072</v>
      </c>
      <c r="AE45" s="523">
        <v>72614</v>
      </c>
      <c r="AF45" s="523">
        <v>898186</v>
      </c>
      <c r="AH45" s="1"/>
      <c r="AI45" s="1"/>
      <c r="AJ45" s="1"/>
      <c r="AK45" s="1"/>
      <c r="AL45" s="545">
        <f t="shared" si="7"/>
        <v>-70000</v>
      </c>
      <c r="AM45" s="316">
        <f t="shared" si="8"/>
        <v>83405.384229692441</v>
      </c>
      <c r="AN45" s="34">
        <f t="shared" si="14"/>
        <v>-35236.466433865244</v>
      </c>
      <c r="AO45" s="318">
        <f t="shared" si="10"/>
        <v>544778.89076549024</v>
      </c>
      <c r="AP45" s="34">
        <f t="shared" si="15"/>
        <v>-25890.976524470545</v>
      </c>
      <c r="AQ45" s="312">
        <f t="shared" si="11"/>
        <v>500365.42683735536</v>
      </c>
    </row>
    <row r="46" spans="1:43" ht="13.8" thickBot="1">
      <c r="A46" s="535">
        <v>79</v>
      </c>
      <c r="B46" s="535">
        <v>44</v>
      </c>
      <c r="C46" s="535">
        <v>-145000</v>
      </c>
      <c r="D46" s="536">
        <v>0</v>
      </c>
      <c r="E46" s="536">
        <v>3123</v>
      </c>
      <c r="F46" s="536">
        <v>11629</v>
      </c>
      <c r="G46" s="536">
        <v>0</v>
      </c>
      <c r="H46" s="536">
        <v>0</v>
      </c>
      <c r="I46" s="536">
        <v>120</v>
      </c>
      <c r="J46" s="536">
        <v>152075</v>
      </c>
      <c r="K46" s="536">
        <v>3172969</v>
      </c>
      <c r="L46" s="536">
        <v>153119</v>
      </c>
      <c r="M46" s="536">
        <v>1882812</v>
      </c>
      <c r="O46" s="487">
        <f t="shared" si="1"/>
        <v>14872</v>
      </c>
      <c r="P46" s="304">
        <f t="shared" si="12"/>
        <v>4.6870927513001232E-3</v>
      </c>
      <c r="Q46" s="474">
        <f t="shared" si="13"/>
        <v>3243</v>
      </c>
      <c r="R46" s="474">
        <f t="shared" si="5"/>
        <v>141852</v>
      </c>
      <c r="T46" s="549">
        <v>79</v>
      </c>
      <c r="U46" s="524">
        <v>44</v>
      </c>
      <c r="V46" s="541">
        <v>-70000</v>
      </c>
      <c r="W46" s="525">
        <v>0</v>
      </c>
      <c r="X46" s="525">
        <v>1549</v>
      </c>
      <c r="Y46" s="525">
        <v>5420</v>
      </c>
      <c r="Z46" s="525">
        <v>0</v>
      </c>
      <c r="AA46" s="525">
        <v>0</v>
      </c>
      <c r="AB46" s="525">
        <v>120</v>
      </c>
      <c r="AC46" s="525">
        <v>72676</v>
      </c>
      <c r="AD46" s="525">
        <v>1570659</v>
      </c>
      <c r="AE46" s="525">
        <v>75957</v>
      </c>
      <c r="AF46" s="525">
        <v>882010</v>
      </c>
      <c r="AH46" s="1"/>
      <c r="AI46" s="1"/>
      <c r="AJ46" s="1"/>
      <c r="AK46" s="1"/>
      <c r="AL46" s="545">
        <f t="shared" si="7"/>
        <v>-70000</v>
      </c>
      <c r="AM46" s="316">
        <f t="shared" si="8"/>
        <v>14437.598815378758</v>
      </c>
      <c r="AN46" s="34">
        <f t="shared" si="14"/>
        <v>-35236.466433865244</v>
      </c>
      <c r="AO46" s="318">
        <f t="shared" si="10"/>
        <v>524828.69706157374</v>
      </c>
      <c r="AP46" s="34">
        <f t="shared" si="15"/>
        <v>-25890.976524470545</v>
      </c>
      <c r="AQ46" s="312">
        <f t="shared" si="11"/>
        <v>479219.19481601368</v>
      </c>
    </row>
    <row r="47" spans="1:43" ht="13.8" thickBot="1">
      <c r="A47" s="533">
        <v>80</v>
      </c>
      <c r="B47" s="533">
        <v>45</v>
      </c>
      <c r="C47" s="533">
        <v>-145000</v>
      </c>
      <c r="D47" s="534">
        <v>0</v>
      </c>
      <c r="E47" s="534">
        <v>3721</v>
      </c>
      <c r="F47" s="534">
        <v>11366</v>
      </c>
      <c r="G47" s="534">
        <v>0</v>
      </c>
      <c r="H47" s="534">
        <v>0</v>
      </c>
      <c r="I47" s="534">
        <v>120</v>
      </c>
      <c r="J47" s="534">
        <v>152742</v>
      </c>
      <c r="K47" s="534">
        <v>3310504</v>
      </c>
      <c r="L47" s="534">
        <v>160124</v>
      </c>
      <c r="M47" s="534">
        <v>1850348</v>
      </c>
      <c r="O47" s="487">
        <f t="shared" si="1"/>
        <v>15207</v>
      </c>
      <c r="P47" s="304">
        <f t="shared" si="12"/>
        <v>4.5935603763052396E-3</v>
      </c>
      <c r="Q47" s="474">
        <f t="shared" si="13"/>
        <v>3841</v>
      </c>
      <c r="R47" s="474">
        <f t="shared" si="5"/>
        <v>145693</v>
      </c>
      <c r="T47" s="548">
        <v>80</v>
      </c>
      <c r="U47" s="522">
        <v>45</v>
      </c>
      <c r="V47" s="542">
        <v>-70000</v>
      </c>
      <c r="W47" s="523">
        <v>0</v>
      </c>
      <c r="X47" s="523">
        <v>1842</v>
      </c>
      <c r="Y47" s="523">
        <v>5279</v>
      </c>
      <c r="Z47" s="523">
        <v>0</v>
      </c>
      <c r="AA47" s="523">
        <v>0</v>
      </c>
      <c r="AB47" s="523">
        <v>120</v>
      </c>
      <c r="AC47" s="523">
        <v>72873</v>
      </c>
      <c r="AD47" s="523">
        <v>1636291</v>
      </c>
      <c r="AE47" s="523">
        <v>79307</v>
      </c>
      <c r="AF47" s="523">
        <v>864180</v>
      </c>
      <c r="AH47" s="1"/>
      <c r="AI47" s="1"/>
      <c r="AJ47" s="1"/>
      <c r="AK47" s="1"/>
      <c r="AL47" s="545">
        <f t="shared" si="7"/>
        <v>-70000</v>
      </c>
      <c r="AM47" s="316">
        <f t="shared" si="8"/>
        <v>-59840.706075837072</v>
      </c>
      <c r="AN47" s="34">
        <f t="shared" si="14"/>
        <v>-35236.466433865244</v>
      </c>
      <c r="AO47" s="318">
        <f t="shared" si="10"/>
        <v>504279.99754653976</v>
      </c>
      <c r="AP47" s="34">
        <f t="shared" si="15"/>
        <v>-25890.976524470545</v>
      </c>
      <c r="AQ47" s="312">
        <f t="shared" si="11"/>
        <v>457861.50047445856</v>
      </c>
    </row>
    <row r="48" spans="1:43" ht="13.8" thickBot="1">
      <c r="A48" s="535">
        <v>81</v>
      </c>
      <c r="B48" s="535">
        <v>46</v>
      </c>
      <c r="C48" s="535">
        <v>-145000</v>
      </c>
      <c r="D48" s="536">
        <v>0</v>
      </c>
      <c r="E48" s="536">
        <v>4429</v>
      </c>
      <c r="F48" s="536">
        <v>11080</v>
      </c>
      <c r="G48" s="536">
        <v>0</v>
      </c>
      <c r="H48" s="536">
        <v>0</v>
      </c>
      <c r="I48" s="536">
        <v>120</v>
      </c>
      <c r="J48" s="536">
        <v>153235</v>
      </c>
      <c r="K48" s="536">
        <v>3448110</v>
      </c>
      <c r="L48" s="536">
        <v>167143</v>
      </c>
      <c r="M48" s="536">
        <v>1814421</v>
      </c>
      <c r="O48" s="487">
        <f t="shared" si="1"/>
        <v>15629</v>
      </c>
      <c r="P48" s="304">
        <f t="shared" si="12"/>
        <v>4.5326280194077336E-3</v>
      </c>
      <c r="Q48" s="474">
        <f t="shared" si="13"/>
        <v>4549</v>
      </c>
      <c r="R48" s="474">
        <f t="shared" si="5"/>
        <v>150242</v>
      </c>
      <c r="T48" s="549">
        <v>81</v>
      </c>
      <c r="U48" s="524">
        <v>46</v>
      </c>
      <c r="V48" s="541">
        <v>-70000</v>
      </c>
      <c r="W48" s="525">
        <v>0</v>
      </c>
      <c r="X48" s="525">
        <v>2189</v>
      </c>
      <c r="Y48" s="525">
        <v>5125</v>
      </c>
      <c r="Z48" s="525">
        <v>0</v>
      </c>
      <c r="AA48" s="525">
        <v>0</v>
      </c>
      <c r="AB48" s="525">
        <v>120</v>
      </c>
      <c r="AC48" s="525">
        <v>72975</v>
      </c>
      <c r="AD48" s="525">
        <v>1701831</v>
      </c>
      <c r="AE48" s="525">
        <v>82658</v>
      </c>
      <c r="AF48" s="525">
        <v>844519</v>
      </c>
      <c r="AH48" s="1"/>
      <c r="AI48" s="1"/>
      <c r="AJ48" s="1"/>
      <c r="AK48" s="1"/>
      <c r="AL48" s="545">
        <f t="shared" si="7"/>
        <v>-70000</v>
      </c>
      <c r="AM48" s="316">
        <f t="shared" si="8"/>
        <v>-139838.44044367652</v>
      </c>
      <c r="AN48" s="34">
        <f t="shared" si="14"/>
        <v>-35236.466433865244</v>
      </c>
      <c r="AO48" s="318">
        <f t="shared" si="10"/>
        <v>483114.83704605477</v>
      </c>
      <c r="AP48" s="34">
        <f t="shared" si="15"/>
        <v>-25890.976524470545</v>
      </c>
      <c r="AQ48" s="312">
        <f t="shared" si="11"/>
        <v>436290.22918948787</v>
      </c>
    </row>
    <row r="49" spans="1:43" ht="13.8" thickBot="1">
      <c r="A49" s="533">
        <v>82</v>
      </c>
      <c r="B49" s="533">
        <v>47</v>
      </c>
      <c r="C49" s="533">
        <v>-145000</v>
      </c>
      <c r="D49" s="534">
        <v>0</v>
      </c>
      <c r="E49" s="534">
        <v>5263</v>
      </c>
      <c r="F49" s="534">
        <v>10769</v>
      </c>
      <c r="G49" s="534">
        <v>0</v>
      </c>
      <c r="H49" s="534">
        <v>0</v>
      </c>
      <c r="I49" s="534">
        <v>120</v>
      </c>
      <c r="J49" s="534">
        <v>153527</v>
      </c>
      <c r="K49" s="534">
        <v>3585485</v>
      </c>
      <c r="L49" s="534">
        <v>174164</v>
      </c>
      <c r="M49" s="534">
        <v>1774644</v>
      </c>
      <c r="O49" s="487">
        <f t="shared" si="1"/>
        <v>16152</v>
      </c>
      <c r="P49" s="304">
        <f t="shared" si="12"/>
        <v>4.5048298905169034E-3</v>
      </c>
      <c r="Q49" s="474">
        <f t="shared" si="13"/>
        <v>5383</v>
      </c>
      <c r="R49" s="474">
        <f t="shared" si="5"/>
        <v>155625</v>
      </c>
      <c r="T49" s="548">
        <v>82</v>
      </c>
      <c r="U49" s="522">
        <v>47</v>
      </c>
      <c r="V49" s="542">
        <v>-70000</v>
      </c>
      <c r="W49" s="523">
        <v>0</v>
      </c>
      <c r="X49" s="523">
        <v>2598</v>
      </c>
      <c r="Y49" s="523">
        <v>4959</v>
      </c>
      <c r="Z49" s="523">
        <v>0</v>
      </c>
      <c r="AA49" s="523">
        <v>0</v>
      </c>
      <c r="AB49" s="523">
        <v>120</v>
      </c>
      <c r="AC49" s="523">
        <v>72969</v>
      </c>
      <c r="AD49" s="523">
        <v>1767124</v>
      </c>
      <c r="AE49" s="523">
        <v>86004</v>
      </c>
      <c r="AF49" s="523">
        <v>822828</v>
      </c>
      <c r="AH49" s="1"/>
      <c r="AI49" s="1"/>
      <c r="AJ49" s="1"/>
      <c r="AK49" s="1"/>
      <c r="AL49" s="545">
        <f t="shared" si="7"/>
        <v>-70000</v>
      </c>
      <c r="AM49" s="316">
        <f t="shared" si="8"/>
        <v>-225996.0003578396</v>
      </c>
      <c r="AN49" s="34">
        <f t="shared" si="14"/>
        <v>-35236.466433865244</v>
      </c>
      <c r="AO49" s="318">
        <f t="shared" si="10"/>
        <v>461314.72173055523</v>
      </c>
      <c r="AP49" s="34">
        <f t="shared" si="15"/>
        <v>-25890.976524470545</v>
      </c>
      <c r="AQ49" s="312">
        <f t="shared" si="11"/>
        <v>414503.24519166752</v>
      </c>
    </row>
    <row r="50" spans="1:43" ht="13.8" thickBot="1">
      <c r="A50" s="535">
        <v>83</v>
      </c>
      <c r="B50" s="535">
        <v>48</v>
      </c>
      <c r="C50" s="535">
        <v>-145000</v>
      </c>
      <c r="D50" s="536">
        <v>0</v>
      </c>
      <c r="E50" s="536">
        <v>6233</v>
      </c>
      <c r="F50" s="536">
        <v>10430</v>
      </c>
      <c r="G50" s="536">
        <v>0</v>
      </c>
      <c r="H50" s="536">
        <v>0</v>
      </c>
      <c r="I50" s="536">
        <v>120</v>
      </c>
      <c r="J50" s="536">
        <v>153592</v>
      </c>
      <c r="K50" s="536">
        <v>3722295</v>
      </c>
      <c r="L50" s="536">
        <v>181170</v>
      </c>
      <c r="M50" s="536">
        <v>1730591</v>
      </c>
      <c r="O50" s="487">
        <f t="shared" si="1"/>
        <v>16783</v>
      </c>
      <c r="P50" s="304">
        <f t="shared" si="12"/>
        <v>4.5087775149470957E-3</v>
      </c>
      <c r="Q50" s="474">
        <f t="shared" si="13"/>
        <v>6353</v>
      </c>
      <c r="R50" s="474">
        <f t="shared" si="5"/>
        <v>161978</v>
      </c>
      <c r="T50" s="549">
        <v>83</v>
      </c>
      <c r="U50" s="524">
        <v>48</v>
      </c>
      <c r="V50" s="541">
        <v>-70000</v>
      </c>
      <c r="W50" s="525">
        <v>0</v>
      </c>
      <c r="X50" s="525">
        <v>3072</v>
      </c>
      <c r="Y50" s="525">
        <v>4777</v>
      </c>
      <c r="Z50" s="525">
        <v>0</v>
      </c>
      <c r="AA50" s="525">
        <v>0</v>
      </c>
      <c r="AB50" s="525">
        <v>120</v>
      </c>
      <c r="AC50" s="525">
        <v>72841</v>
      </c>
      <c r="AD50" s="525">
        <v>1831995</v>
      </c>
      <c r="AE50" s="525">
        <v>89336</v>
      </c>
      <c r="AF50" s="525">
        <v>798890</v>
      </c>
      <c r="AH50" s="1"/>
      <c r="AI50" s="1"/>
      <c r="AJ50" s="1"/>
      <c r="AK50" s="1"/>
      <c r="AL50" s="545">
        <f t="shared" si="7"/>
        <v>-70000</v>
      </c>
      <c r="AM50" s="316">
        <f t="shared" si="8"/>
        <v>-318787.69238539325</v>
      </c>
      <c r="AN50" s="34">
        <f t="shared" si="14"/>
        <v>-35236.466433865244</v>
      </c>
      <c r="AO50" s="318">
        <f t="shared" si="10"/>
        <v>438860.6029555907</v>
      </c>
      <c r="AP50" s="34">
        <f t="shared" si="15"/>
        <v>-25890.976524470545</v>
      </c>
      <c r="AQ50" s="312">
        <f t="shared" si="11"/>
        <v>392498.39135386894</v>
      </c>
    </row>
    <row r="51" spans="1:43" ht="13.8" thickBot="1">
      <c r="A51" s="533">
        <v>84</v>
      </c>
      <c r="B51" s="533">
        <v>49</v>
      </c>
      <c r="C51" s="533">
        <v>-145000</v>
      </c>
      <c r="D51" s="534">
        <v>0</v>
      </c>
      <c r="E51" s="534">
        <v>7395</v>
      </c>
      <c r="F51" s="534">
        <v>10059</v>
      </c>
      <c r="G51" s="534">
        <v>0</v>
      </c>
      <c r="H51" s="534">
        <v>0</v>
      </c>
      <c r="I51" s="534">
        <v>120</v>
      </c>
      <c r="J51" s="534">
        <v>153397</v>
      </c>
      <c r="K51" s="534">
        <v>3858117</v>
      </c>
      <c r="L51" s="534">
        <v>188143</v>
      </c>
      <c r="M51" s="534">
        <v>1681748</v>
      </c>
      <c r="O51" s="487">
        <f t="shared" si="1"/>
        <v>17574</v>
      </c>
      <c r="P51" s="304">
        <f t="shared" si="12"/>
        <v>4.5550718135297609E-3</v>
      </c>
      <c r="Q51" s="474">
        <f t="shared" si="13"/>
        <v>7515</v>
      </c>
      <c r="R51" s="474">
        <f t="shared" si="5"/>
        <v>169493</v>
      </c>
      <c r="T51" s="548">
        <v>84</v>
      </c>
      <c r="U51" s="522">
        <v>49</v>
      </c>
      <c r="V51" s="542">
        <v>-70000</v>
      </c>
      <c r="W51" s="523">
        <v>0</v>
      </c>
      <c r="X51" s="523">
        <v>3641</v>
      </c>
      <c r="Y51" s="523">
        <v>4580</v>
      </c>
      <c r="Z51" s="523">
        <v>0</v>
      </c>
      <c r="AA51" s="523">
        <v>0</v>
      </c>
      <c r="AB51" s="523">
        <v>120</v>
      </c>
      <c r="AC51" s="523">
        <v>72575</v>
      </c>
      <c r="AD51" s="523">
        <v>1896230</v>
      </c>
      <c r="AE51" s="523">
        <v>92645</v>
      </c>
      <c r="AF51" s="523">
        <v>772442</v>
      </c>
      <c r="AH51" s="1"/>
      <c r="AI51" s="1"/>
      <c r="AJ51" s="1"/>
      <c r="AK51" s="1"/>
      <c r="AL51" s="545">
        <f t="shared" si="7"/>
        <v>-70000</v>
      </c>
      <c r="AM51" s="316">
        <f t="shared" si="8"/>
        <v>-418724.34469906852</v>
      </c>
      <c r="AN51" s="34">
        <f t="shared" si="14"/>
        <v>-35236.466433865244</v>
      </c>
      <c r="AO51" s="318">
        <f t="shared" si="10"/>
        <v>415732.86061737721</v>
      </c>
      <c r="AP51" s="34">
        <f t="shared" si="15"/>
        <v>-25890.976524470545</v>
      </c>
      <c r="AQ51" s="312">
        <f t="shared" si="11"/>
        <v>370273.48897769238</v>
      </c>
    </row>
    <row r="52" spans="1:43" ht="13.8" thickBot="1">
      <c r="A52" s="535">
        <v>85</v>
      </c>
      <c r="B52" s="535">
        <v>50</v>
      </c>
      <c r="C52" s="535">
        <v>-145000</v>
      </c>
      <c r="D52" s="536">
        <v>0</v>
      </c>
      <c r="E52" s="536">
        <v>8805</v>
      </c>
      <c r="F52" s="536">
        <v>9654</v>
      </c>
      <c r="G52" s="536">
        <v>0</v>
      </c>
      <c r="H52" s="536">
        <v>0</v>
      </c>
      <c r="I52" s="536">
        <v>120</v>
      </c>
      <c r="J52" s="536">
        <v>152904</v>
      </c>
      <c r="K52" s="536">
        <v>3992442</v>
      </c>
      <c r="L52" s="536">
        <v>195059</v>
      </c>
      <c r="M52" s="536">
        <v>1627504</v>
      </c>
      <c r="O52" s="487">
        <f t="shared" si="1"/>
        <v>18579</v>
      </c>
      <c r="P52" s="304">
        <f t="shared" si="12"/>
        <v>4.6535428692514504E-3</v>
      </c>
      <c r="Q52" s="474">
        <f t="shared" si="13"/>
        <v>8925</v>
      </c>
      <c r="R52" s="474">
        <f t="shared" si="5"/>
        <v>178418</v>
      </c>
      <c r="T52" s="549">
        <v>85</v>
      </c>
      <c r="U52" s="524">
        <v>50</v>
      </c>
      <c r="V52" s="541">
        <v>-70000</v>
      </c>
      <c r="W52" s="525">
        <v>0</v>
      </c>
      <c r="X52" s="525">
        <v>4329</v>
      </c>
      <c r="Y52" s="525">
        <v>4364</v>
      </c>
      <c r="Z52" s="525">
        <v>0</v>
      </c>
      <c r="AA52" s="525">
        <v>0</v>
      </c>
      <c r="AB52" s="525">
        <v>120</v>
      </c>
      <c r="AC52" s="525">
        <v>72152</v>
      </c>
      <c r="AD52" s="525">
        <v>1959569</v>
      </c>
      <c r="AE52" s="525">
        <v>95917</v>
      </c>
      <c r="AF52" s="525">
        <v>743175</v>
      </c>
      <c r="AH52" s="1"/>
      <c r="AI52" s="1"/>
      <c r="AJ52" s="1"/>
      <c r="AK52" s="1"/>
      <c r="AL52" s="545">
        <f t="shared" si="7"/>
        <v>-70000</v>
      </c>
      <c r="AM52" s="316">
        <f t="shared" si="8"/>
        <v>-526356.11924089678</v>
      </c>
      <c r="AN52" s="34">
        <f t="shared" si="14"/>
        <v>-35236.466433865244</v>
      </c>
      <c r="AO52" s="318">
        <f t="shared" si="10"/>
        <v>391911.28600901732</v>
      </c>
      <c r="AP52" s="34">
        <f t="shared" si="15"/>
        <v>-25890.976524470545</v>
      </c>
      <c r="AQ52" s="312">
        <f t="shared" si="11"/>
        <v>347826.33757775405</v>
      </c>
    </row>
    <row r="53" spans="1:43" ht="13.8" thickBot="1">
      <c r="A53" s="533">
        <v>86</v>
      </c>
      <c r="B53" s="533">
        <v>51</v>
      </c>
      <c r="C53" s="533">
        <v>-145000</v>
      </c>
      <c r="D53" s="534">
        <v>0</v>
      </c>
      <c r="E53" s="534">
        <v>10499</v>
      </c>
      <c r="F53" s="534">
        <v>9209</v>
      </c>
      <c r="G53" s="534">
        <v>0</v>
      </c>
      <c r="H53" s="534">
        <v>0</v>
      </c>
      <c r="I53" s="534">
        <v>120</v>
      </c>
      <c r="J53" s="534">
        <v>152068</v>
      </c>
      <c r="K53" s="534">
        <v>4124682</v>
      </c>
      <c r="L53" s="534">
        <v>201890</v>
      </c>
      <c r="M53" s="534">
        <v>1567164</v>
      </c>
      <c r="O53" s="487">
        <f t="shared" si="1"/>
        <v>19828</v>
      </c>
      <c r="P53" s="82"/>
      <c r="Q53" s="474">
        <f t="shared" si="13"/>
        <v>10619</v>
      </c>
      <c r="R53" s="474">
        <f t="shared" si="5"/>
        <v>189037</v>
      </c>
      <c r="T53" s="548">
        <v>86</v>
      </c>
      <c r="U53" s="522">
        <v>51</v>
      </c>
      <c r="V53" s="542">
        <v>-70000</v>
      </c>
      <c r="W53" s="523">
        <v>0</v>
      </c>
      <c r="X53" s="523">
        <v>5155</v>
      </c>
      <c r="Y53" s="523">
        <v>4127</v>
      </c>
      <c r="Z53" s="523">
        <v>0</v>
      </c>
      <c r="AA53" s="523">
        <v>0</v>
      </c>
      <c r="AB53" s="523">
        <v>120</v>
      </c>
      <c r="AC53" s="523">
        <v>71547</v>
      </c>
      <c r="AD53" s="523">
        <v>2021714</v>
      </c>
      <c r="AE53" s="523">
        <v>99141</v>
      </c>
      <c r="AF53" s="523">
        <v>710741</v>
      </c>
      <c r="AH53" s="1"/>
      <c r="AI53" s="1"/>
      <c r="AJ53" s="1"/>
      <c r="AK53" s="1"/>
      <c r="AL53" s="545">
        <f t="shared" si="7"/>
        <v>-70000</v>
      </c>
      <c r="AM53" s="316">
        <f t="shared" si="8"/>
        <v>-642275.54042244575</v>
      </c>
      <c r="AN53" s="34">
        <f t="shared" si="14"/>
        <v>-35236.466433865244</v>
      </c>
      <c r="AO53" s="318">
        <f t="shared" si="10"/>
        <v>367375.06416240666</v>
      </c>
      <c r="AP53" s="34">
        <f t="shared" si="15"/>
        <v>-25890.976524470545</v>
      </c>
      <c r="AQ53" s="312">
        <f t="shared" si="11"/>
        <v>325154.71466381632</v>
      </c>
    </row>
    <row r="54" spans="1:43" ht="13.8" thickBot="1">
      <c r="A54" s="535">
        <v>87</v>
      </c>
      <c r="B54" s="535">
        <v>52</v>
      </c>
      <c r="C54" s="535">
        <v>-145000</v>
      </c>
      <c r="D54" s="536">
        <v>0</v>
      </c>
      <c r="E54" s="536">
        <v>12521</v>
      </c>
      <c r="F54" s="536">
        <v>8720</v>
      </c>
      <c r="G54" s="536">
        <v>0</v>
      </c>
      <c r="H54" s="536">
        <v>0</v>
      </c>
      <c r="I54" s="536">
        <v>120</v>
      </c>
      <c r="J54" s="536">
        <v>150839</v>
      </c>
      <c r="K54" s="536">
        <v>4254160</v>
      </c>
      <c r="L54" s="536">
        <v>208606</v>
      </c>
      <c r="M54" s="536">
        <v>1499941</v>
      </c>
      <c r="O54" s="487">
        <f t="shared" si="1"/>
        <v>21361</v>
      </c>
      <c r="P54" s="82"/>
      <c r="Q54" s="474">
        <f t="shared" si="13"/>
        <v>12641</v>
      </c>
      <c r="R54" s="474">
        <f t="shared" si="5"/>
        <v>201678</v>
      </c>
      <c r="T54" s="549">
        <v>87</v>
      </c>
      <c r="U54" s="524">
        <v>52</v>
      </c>
      <c r="V54" s="541">
        <v>-70000</v>
      </c>
      <c r="W54" s="525">
        <v>0</v>
      </c>
      <c r="X54" s="525">
        <v>6138</v>
      </c>
      <c r="Y54" s="525">
        <v>3868</v>
      </c>
      <c r="Z54" s="525">
        <v>0</v>
      </c>
      <c r="AA54" s="525">
        <v>0</v>
      </c>
      <c r="AB54" s="525">
        <v>120</v>
      </c>
      <c r="AC54" s="525">
        <v>70737</v>
      </c>
      <c r="AD54" s="525">
        <v>2082325</v>
      </c>
      <c r="AE54" s="525">
        <v>102299</v>
      </c>
      <c r="AF54" s="525">
        <v>674741</v>
      </c>
      <c r="AH54" s="1"/>
      <c r="AI54" s="1"/>
      <c r="AJ54" s="1"/>
      <c r="AK54" s="1"/>
      <c r="AL54" s="545">
        <f t="shared" si="7"/>
        <v>-70000</v>
      </c>
      <c r="AM54" s="316">
        <f t="shared" si="8"/>
        <v>-767120.75703497406</v>
      </c>
      <c r="AN54" s="34">
        <f t="shared" si="14"/>
        <v>-35236.466433865244</v>
      </c>
      <c r="AO54" s="318">
        <f t="shared" si="10"/>
        <v>342102.75566039764</v>
      </c>
      <c r="AP54" s="34">
        <f t="shared" si="15"/>
        <v>-25890.976524470545</v>
      </c>
      <c r="AQ54" s="312">
        <f t="shared" si="11"/>
        <v>302256.37552073924</v>
      </c>
    </row>
    <row r="55" spans="1:43" ht="13.8" thickBot="1">
      <c r="A55" s="533">
        <v>88</v>
      </c>
      <c r="B55" s="533">
        <v>53</v>
      </c>
      <c r="C55" s="533">
        <v>-145000</v>
      </c>
      <c r="D55" s="534">
        <v>0</v>
      </c>
      <c r="E55" s="534">
        <v>14899</v>
      </c>
      <c r="F55" s="534">
        <v>8181</v>
      </c>
      <c r="G55" s="534">
        <v>0</v>
      </c>
      <c r="H55" s="534">
        <v>0</v>
      </c>
      <c r="I55" s="534">
        <v>120</v>
      </c>
      <c r="J55" s="534">
        <v>149158</v>
      </c>
      <c r="K55" s="534">
        <v>4380118</v>
      </c>
      <c r="L55" s="534">
        <v>215171</v>
      </c>
      <c r="M55" s="534">
        <v>1424959</v>
      </c>
      <c r="O55" s="487">
        <f t="shared" si="1"/>
        <v>23200</v>
      </c>
      <c r="P55" s="82"/>
      <c r="Q55" s="474">
        <f t="shared" si="13"/>
        <v>15019</v>
      </c>
      <c r="R55" s="474">
        <f t="shared" si="5"/>
        <v>216697</v>
      </c>
      <c r="T55" s="548">
        <v>88</v>
      </c>
      <c r="U55" s="522">
        <v>53</v>
      </c>
      <c r="V55" s="542">
        <v>-70000</v>
      </c>
      <c r="W55" s="523">
        <v>0</v>
      </c>
      <c r="X55" s="523">
        <v>7295</v>
      </c>
      <c r="Y55" s="523">
        <v>3583</v>
      </c>
      <c r="Z55" s="523">
        <v>0</v>
      </c>
      <c r="AA55" s="523">
        <v>0</v>
      </c>
      <c r="AB55" s="523">
        <v>120</v>
      </c>
      <c r="AC55" s="523">
        <v>69691</v>
      </c>
      <c r="AD55" s="523">
        <v>2141018</v>
      </c>
      <c r="AE55" s="523">
        <v>105375</v>
      </c>
      <c r="AF55" s="523">
        <v>634735</v>
      </c>
      <c r="AH55" s="1"/>
      <c r="AI55" s="1"/>
      <c r="AJ55" s="1"/>
      <c r="AK55" s="1"/>
      <c r="AL55" s="545">
        <f t="shared" si="7"/>
        <v>-70000</v>
      </c>
      <c r="AM55" s="316">
        <f t="shared" si="8"/>
        <v>-901579.05532666703</v>
      </c>
      <c r="AN55" s="34">
        <f t="shared" si="14"/>
        <v>-35236.466433865244</v>
      </c>
      <c r="AO55" s="318">
        <f t="shared" si="10"/>
        <v>316072.27790332836</v>
      </c>
      <c r="AP55" s="34">
        <f t="shared" si="15"/>
        <v>-25890.976524470545</v>
      </c>
      <c r="AQ55" s="312">
        <f t="shared" si="11"/>
        <v>279129.0529862314</v>
      </c>
    </row>
    <row r="56" spans="1:43" ht="13.8" thickBot="1">
      <c r="A56" s="535">
        <v>89</v>
      </c>
      <c r="B56" s="535">
        <v>54</v>
      </c>
      <c r="C56" s="535">
        <v>-145000</v>
      </c>
      <c r="D56" s="536">
        <v>0</v>
      </c>
      <c r="E56" s="536">
        <v>17802</v>
      </c>
      <c r="F56" s="536">
        <v>7586</v>
      </c>
      <c r="G56" s="536">
        <v>0</v>
      </c>
      <c r="H56" s="536">
        <v>0</v>
      </c>
      <c r="I56" s="536">
        <v>120</v>
      </c>
      <c r="J56" s="536">
        <v>146957</v>
      </c>
      <c r="K56" s="536">
        <v>4501567</v>
      </c>
      <c r="L56" s="536">
        <v>221539</v>
      </c>
      <c r="M56" s="536">
        <v>1341097</v>
      </c>
      <c r="O56" s="487">
        <f t="shared" si="1"/>
        <v>25508</v>
      </c>
      <c r="P56" s="82"/>
      <c r="Q56" s="474">
        <f t="shared" si="13"/>
        <v>17922</v>
      </c>
      <c r="R56" s="474">
        <f t="shared" si="5"/>
        <v>234619</v>
      </c>
      <c r="T56" s="549">
        <v>89</v>
      </c>
      <c r="U56" s="524">
        <v>54</v>
      </c>
      <c r="V56" s="541">
        <v>-70000</v>
      </c>
      <c r="W56" s="525">
        <v>0</v>
      </c>
      <c r="X56" s="525">
        <v>8704</v>
      </c>
      <c r="Y56" s="525">
        <v>3269</v>
      </c>
      <c r="Z56" s="525">
        <v>0</v>
      </c>
      <c r="AA56" s="525">
        <v>0</v>
      </c>
      <c r="AB56" s="525">
        <v>120</v>
      </c>
      <c r="AC56" s="525">
        <v>68376</v>
      </c>
      <c r="AD56" s="525">
        <v>2197301</v>
      </c>
      <c r="AE56" s="525">
        <v>108345</v>
      </c>
      <c r="AF56" s="525">
        <v>590165</v>
      </c>
      <c r="AH56" s="1"/>
      <c r="AI56" s="1"/>
      <c r="AJ56" s="1"/>
      <c r="AK56" s="1"/>
      <c r="AL56" s="545">
        <f t="shared" si="7"/>
        <v>-70000</v>
      </c>
      <c r="AM56" s="316">
        <f t="shared" si="8"/>
        <v>-1046390.6425868204</v>
      </c>
      <c r="AN56" s="34">
        <f t="shared" si="14"/>
        <v>-35236.466433865244</v>
      </c>
      <c r="AO56" s="318">
        <f t="shared" si="10"/>
        <v>289260.88581354701</v>
      </c>
      <c r="AP56" s="34">
        <f t="shared" si="15"/>
        <v>-25890.976524470545</v>
      </c>
      <c r="AQ56" s="312">
        <f t="shared" si="11"/>
        <v>255770.45722637846</v>
      </c>
    </row>
    <row r="57" spans="1:43" ht="13.8" thickBot="1">
      <c r="A57" s="533">
        <v>90</v>
      </c>
      <c r="B57" s="533">
        <v>55</v>
      </c>
      <c r="C57" s="533">
        <v>-145000</v>
      </c>
      <c r="D57" s="534">
        <v>0</v>
      </c>
      <c r="E57" s="534">
        <v>21191</v>
      </c>
      <c r="F57" s="534">
        <v>6927</v>
      </c>
      <c r="G57" s="534">
        <v>0</v>
      </c>
      <c r="H57" s="534">
        <v>0</v>
      </c>
      <c r="I57" s="534">
        <v>120</v>
      </c>
      <c r="J57" s="534">
        <v>144156</v>
      </c>
      <c r="K57" s="534">
        <v>4617485</v>
      </c>
      <c r="L57" s="534">
        <v>227664</v>
      </c>
      <c r="M57" s="534">
        <v>1247201</v>
      </c>
      <c r="O57" s="487">
        <f t="shared" si="1"/>
        <v>28238</v>
      </c>
      <c r="P57" s="82"/>
      <c r="Q57" s="474">
        <f t="shared" si="13"/>
        <v>21311</v>
      </c>
      <c r="R57" s="474">
        <f t="shared" si="5"/>
        <v>255930</v>
      </c>
      <c r="T57" s="548">
        <v>90</v>
      </c>
      <c r="U57" s="522">
        <v>55</v>
      </c>
      <c r="V57" s="542">
        <v>-70000</v>
      </c>
      <c r="W57" s="523">
        <v>0</v>
      </c>
      <c r="X57" s="523">
        <v>10347</v>
      </c>
      <c r="Y57" s="523">
        <v>2922</v>
      </c>
      <c r="Z57" s="523">
        <v>0</v>
      </c>
      <c r="AA57" s="523">
        <v>0</v>
      </c>
      <c r="AB57" s="523">
        <v>120</v>
      </c>
      <c r="AC57" s="523">
        <v>66752</v>
      </c>
      <c r="AD57" s="523">
        <v>2250665</v>
      </c>
      <c r="AE57" s="523">
        <v>111185</v>
      </c>
      <c r="AF57" s="523">
        <v>540457</v>
      </c>
      <c r="AH57" s="1"/>
      <c r="AI57" s="1"/>
      <c r="AJ57" s="1"/>
      <c r="AK57" s="1"/>
      <c r="AL57" s="545">
        <f t="shared" si="7"/>
        <v>-70000</v>
      </c>
      <c r="AM57" s="316">
        <f t="shared" si="8"/>
        <v>-1202352.7220660055</v>
      </c>
      <c r="AN57" s="34">
        <f t="shared" si="14"/>
        <v>-35236.466433865244</v>
      </c>
      <c r="AO57" s="318">
        <f t="shared" si="10"/>
        <v>261645.1519610722</v>
      </c>
      <c r="AP57" s="34">
        <f t="shared" si="15"/>
        <v>-25890.976524470545</v>
      </c>
      <c r="AQ57" s="312">
        <f t="shared" si="11"/>
        <v>232178.27550892701</v>
      </c>
    </row>
    <row r="58" spans="1:43" ht="13.8" thickBot="1">
      <c r="A58" s="535">
        <v>91</v>
      </c>
      <c r="B58" s="535">
        <v>56</v>
      </c>
      <c r="C58" s="535">
        <v>-145000</v>
      </c>
      <c r="D58" s="536">
        <v>0</v>
      </c>
      <c r="E58" s="536">
        <v>25126</v>
      </c>
      <c r="F58" s="536">
        <v>6195</v>
      </c>
      <c r="G58" s="536">
        <v>0</v>
      </c>
      <c r="H58" s="536">
        <v>0</v>
      </c>
      <c r="I58" s="536">
        <v>120</v>
      </c>
      <c r="J58" s="536">
        <v>140671</v>
      </c>
      <c r="K58" s="536">
        <v>4726714</v>
      </c>
      <c r="L58" s="536">
        <v>233491</v>
      </c>
      <c r="M58" s="536">
        <v>1094700</v>
      </c>
      <c r="O58" s="487">
        <f t="shared" si="1"/>
        <v>31441</v>
      </c>
      <c r="P58" s="82"/>
      <c r="Q58" s="474">
        <f t="shared" si="13"/>
        <v>25246</v>
      </c>
      <c r="R58" s="474">
        <f t="shared" si="5"/>
        <v>281176</v>
      </c>
      <c r="T58" s="549">
        <v>91</v>
      </c>
      <c r="U58" s="524">
        <v>56</v>
      </c>
      <c r="V58" s="541">
        <v>-70000</v>
      </c>
      <c r="W58" s="525">
        <v>0</v>
      </c>
      <c r="X58" s="525">
        <v>12251</v>
      </c>
      <c r="Y58" s="525">
        <v>2538</v>
      </c>
      <c r="Z58" s="525">
        <v>0</v>
      </c>
      <c r="AA58" s="525">
        <v>0</v>
      </c>
      <c r="AB58" s="525">
        <v>120</v>
      </c>
      <c r="AC58" s="525">
        <v>64776</v>
      </c>
      <c r="AD58" s="525">
        <v>2300531</v>
      </c>
      <c r="AE58" s="525">
        <v>113870</v>
      </c>
      <c r="AF58" s="525">
        <v>461957</v>
      </c>
      <c r="AH58" s="1"/>
      <c r="AI58" s="1"/>
      <c r="AJ58" s="1"/>
      <c r="AK58" s="1"/>
      <c r="AL58" s="545">
        <f t="shared" si="7"/>
        <v>-70000</v>
      </c>
      <c r="AM58" s="316">
        <f t="shared" si="8"/>
        <v>-1370323.8816650878</v>
      </c>
      <c r="AN58" s="34">
        <f t="shared" si="14"/>
        <v>-35236.466433865244</v>
      </c>
      <c r="AO58" s="318">
        <f t="shared" si="10"/>
        <v>233200.94609302317</v>
      </c>
      <c r="AP58" s="34">
        <f t="shared" si="15"/>
        <v>-25890.976524470545</v>
      </c>
      <c r="AQ58" s="312">
        <f t="shared" si="11"/>
        <v>208350.17197430102</v>
      </c>
    </row>
    <row r="59" spans="1:43" ht="13.8" thickBot="1">
      <c r="A59" s="533">
        <v>92</v>
      </c>
      <c r="B59" s="533">
        <v>57</v>
      </c>
      <c r="C59" s="533">
        <v>-145000</v>
      </c>
      <c r="D59" s="534">
        <v>0</v>
      </c>
      <c r="E59" s="534">
        <v>23809</v>
      </c>
      <c r="F59" s="534">
        <v>5402</v>
      </c>
      <c r="G59" s="534">
        <v>0</v>
      </c>
      <c r="H59" s="534">
        <v>0</v>
      </c>
      <c r="I59" s="534">
        <v>120</v>
      </c>
      <c r="J59" s="534">
        <v>136626</v>
      </c>
      <c r="K59" s="534">
        <v>4834008</v>
      </c>
      <c r="L59" s="534">
        <v>191383</v>
      </c>
      <c r="M59" s="534">
        <v>933625</v>
      </c>
      <c r="O59" s="487">
        <f t="shared" si="1"/>
        <v>29331</v>
      </c>
      <c r="P59" s="82"/>
      <c r="Q59" s="474">
        <f t="shared" si="13"/>
        <v>23929</v>
      </c>
      <c r="R59" s="474">
        <f t="shared" si="5"/>
        <v>305105</v>
      </c>
      <c r="T59" s="548">
        <v>92</v>
      </c>
      <c r="U59" s="522">
        <v>57</v>
      </c>
      <c r="V59" s="542">
        <v>-70000</v>
      </c>
      <c r="W59" s="523">
        <v>0</v>
      </c>
      <c r="X59" s="523">
        <v>11591</v>
      </c>
      <c r="Y59" s="523">
        <v>2123</v>
      </c>
      <c r="Z59" s="523">
        <v>0</v>
      </c>
      <c r="AA59" s="523">
        <v>0</v>
      </c>
      <c r="AB59" s="523">
        <v>120</v>
      </c>
      <c r="AC59" s="523">
        <v>62509</v>
      </c>
      <c r="AD59" s="523">
        <v>2349206</v>
      </c>
      <c r="AE59" s="523">
        <v>93199</v>
      </c>
      <c r="AF59" s="523">
        <v>379074</v>
      </c>
      <c r="AH59" s="1"/>
      <c r="AI59" s="1"/>
      <c r="AJ59" s="1"/>
      <c r="AK59" s="1"/>
      <c r="AL59" s="545">
        <f t="shared" si="7"/>
        <v>-70000</v>
      </c>
      <c r="AM59" s="316">
        <f t="shared" si="8"/>
        <v>-1551228.8205532995</v>
      </c>
      <c r="AN59" s="34">
        <f t="shared" si="14"/>
        <v>-35236.466433865244</v>
      </c>
      <c r="AO59" s="318">
        <f t="shared" si="10"/>
        <v>203903.41404893267</v>
      </c>
      <c r="AP59" s="34">
        <f t="shared" si="15"/>
        <v>-25890.976524470545</v>
      </c>
      <c r="AQ59" s="312">
        <f t="shared" si="11"/>
        <v>184283.78740432879</v>
      </c>
    </row>
    <row r="60" spans="1:43" ht="13.8" thickBot="1">
      <c r="A60" s="535">
        <v>93</v>
      </c>
      <c r="B60" s="535">
        <v>58</v>
      </c>
      <c r="C60" s="535">
        <v>-145000</v>
      </c>
      <c r="D60" s="536">
        <v>0</v>
      </c>
      <c r="E60" s="536">
        <v>21010</v>
      </c>
      <c r="F60" s="536">
        <v>4568</v>
      </c>
      <c r="G60" s="536">
        <v>0</v>
      </c>
      <c r="H60" s="536">
        <v>0</v>
      </c>
      <c r="I60" s="536">
        <v>120</v>
      </c>
      <c r="J60" s="536">
        <v>132238</v>
      </c>
      <c r="K60" s="536">
        <v>4940548</v>
      </c>
      <c r="L60" s="536">
        <v>146965</v>
      </c>
      <c r="M60" s="536">
        <v>765147</v>
      </c>
      <c r="O60" s="487">
        <f t="shared" si="1"/>
        <v>25698</v>
      </c>
      <c r="P60" s="82"/>
      <c r="Q60" s="474">
        <f t="shared" si="13"/>
        <v>21130</v>
      </c>
      <c r="R60" s="474">
        <f t="shared" si="5"/>
        <v>326235</v>
      </c>
      <c r="T60" s="549">
        <v>93</v>
      </c>
      <c r="U60" s="524">
        <v>58</v>
      </c>
      <c r="V60" s="541">
        <v>-70000</v>
      </c>
      <c r="W60" s="525">
        <v>0</v>
      </c>
      <c r="X60" s="525">
        <v>10213</v>
      </c>
      <c r="Y60" s="525">
        <v>1685</v>
      </c>
      <c r="Z60" s="525">
        <v>0</v>
      </c>
      <c r="AA60" s="525">
        <v>0</v>
      </c>
      <c r="AB60" s="525">
        <v>120</v>
      </c>
      <c r="AC60" s="525">
        <v>60055</v>
      </c>
      <c r="AD60" s="525">
        <v>2397241</v>
      </c>
      <c r="AE60" s="525">
        <v>71462</v>
      </c>
      <c r="AF60" s="525">
        <v>292366</v>
      </c>
      <c r="AH60" s="1"/>
      <c r="AI60" s="1"/>
      <c r="AJ60" s="1"/>
      <c r="AK60" s="1"/>
      <c r="AL60" s="545">
        <f t="shared" si="7"/>
        <v>-70000</v>
      </c>
      <c r="AM60" s="316">
        <f t="shared" si="8"/>
        <v>-1746063.4397359034</v>
      </c>
      <c r="AN60" s="34">
        <f t="shared" si="14"/>
        <v>-35236.466433865244</v>
      </c>
      <c r="AO60" s="318">
        <f t="shared" si="10"/>
        <v>173726.95604351943</v>
      </c>
      <c r="AP60" s="34">
        <f t="shared" si="15"/>
        <v>-25890.976524470545</v>
      </c>
      <c r="AQ60" s="312">
        <f t="shared" si="11"/>
        <v>159976.73898865681</v>
      </c>
    </row>
    <row r="61" spans="1:43" ht="13.8" thickBot="1">
      <c r="A61" s="533">
        <v>94</v>
      </c>
      <c r="B61" s="533">
        <v>59</v>
      </c>
      <c r="C61" s="533">
        <v>-145000</v>
      </c>
      <c r="D61" s="534">
        <v>0</v>
      </c>
      <c r="E61" s="534">
        <v>16450</v>
      </c>
      <c r="F61" s="534">
        <v>3702</v>
      </c>
      <c r="G61" s="534">
        <v>0</v>
      </c>
      <c r="H61" s="534">
        <v>0</v>
      </c>
      <c r="I61" s="534">
        <v>120</v>
      </c>
      <c r="J61" s="534">
        <v>127606</v>
      </c>
      <c r="K61" s="534">
        <v>5047882</v>
      </c>
      <c r="L61" s="534">
        <v>100280</v>
      </c>
      <c r="M61" s="534">
        <v>590764</v>
      </c>
      <c r="O61" s="487">
        <f t="shared" si="1"/>
        <v>20272</v>
      </c>
      <c r="P61" s="82"/>
      <c r="Q61" s="474">
        <f t="shared" si="13"/>
        <v>16570</v>
      </c>
      <c r="R61" s="474">
        <f t="shared" si="5"/>
        <v>342805</v>
      </c>
      <c r="T61" s="548">
        <v>94</v>
      </c>
      <c r="U61" s="522">
        <v>59</v>
      </c>
      <c r="V61" s="542">
        <v>-70000</v>
      </c>
      <c r="W61" s="523">
        <v>0</v>
      </c>
      <c r="X61" s="523">
        <v>7984</v>
      </c>
      <c r="Y61" s="523">
        <v>1230</v>
      </c>
      <c r="Z61" s="523">
        <v>0</v>
      </c>
      <c r="AA61" s="523">
        <v>0</v>
      </c>
      <c r="AB61" s="523">
        <v>120</v>
      </c>
      <c r="AC61" s="523">
        <v>57459</v>
      </c>
      <c r="AD61" s="523">
        <v>2445366</v>
      </c>
      <c r="AE61" s="523">
        <v>48687</v>
      </c>
      <c r="AF61" s="523">
        <v>202544</v>
      </c>
      <c r="AH61" s="1"/>
      <c r="AI61" s="1"/>
      <c r="AJ61" s="1"/>
      <c r="AK61" s="1"/>
      <c r="AL61" s="545">
        <f t="shared" si="7"/>
        <v>-70000</v>
      </c>
      <c r="AM61" s="316">
        <f t="shared" si="8"/>
        <v>-1955900.324595568</v>
      </c>
      <c r="AN61" s="34">
        <f t="shared" si="14"/>
        <v>-35236.466433865244</v>
      </c>
      <c r="AO61" s="318">
        <f t="shared" si="10"/>
        <v>142645.2042979438</v>
      </c>
      <c r="AP61" s="34">
        <f t="shared" si="15"/>
        <v>-25890.976524470545</v>
      </c>
      <c r="AQ61" s="312">
        <f t="shared" si="11"/>
        <v>135426.62008882812</v>
      </c>
    </row>
    <row r="62" spans="1:43" ht="13.8" thickBot="1">
      <c r="A62" s="535">
        <v>95</v>
      </c>
      <c r="B62" s="535">
        <v>60</v>
      </c>
      <c r="C62" s="535">
        <v>-145000</v>
      </c>
      <c r="D62" s="536">
        <v>0</v>
      </c>
      <c r="E62" s="536">
        <v>9524</v>
      </c>
      <c r="F62" s="536">
        <v>2817</v>
      </c>
      <c r="G62" s="536">
        <v>0</v>
      </c>
      <c r="H62" s="536">
        <v>0</v>
      </c>
      <c r="I62" s="536">
        <v>120</v>
      </c>
      <c r="J62" s="536">
        <v>122863</v>
      </c>
      <c r="K62" s="536">
        <v>5158284</v>
      </c>
      <c r="L62" s="536">
        <v>51323</v>
      </c>
      <c r="M62" s="536">
        <v>412636</v>
      </c>
      <c r="O62" s="487">
        <f t="shared" si="1"/>
        <v>12461</v>
      </c>
      <c r="P62" s="82"/>
      <c r="Q62" s="474">
        <f t="shared" si="13"/>
        <v>9644</v>
      </c>
      <c r="R62" s="474">
        <f t="shared" si="5"/>
        <v>352449</v>
      </c>
      <c r="T62" s="549">
        <v>95</v>
      </c>
      <c r="U62" s="524">
        <v>60</v>
      </c>
      <c r="V62" s="541">
        <v>-70000</v>
      </c>
      <c r="W62" s="525">
        <v>0</v>
      </c>
      <c r="X62" s="525">
        <v>4616</v>
      </c>
      <c r="Y62" s="525">
        <v>763</v>
      </c>
      <c r="Z62" s="525">
        <v>0</v>
      </c>
      <c r="AA62" s="525">
        <v>0</v>
      </c>
      <c r="AB62" s="525">
        <v>120</v>
      </c>
      <c r="AC62" s="525">
        <v>54786</v>
      </c>
      <c r="AD62" s="525">
        <v>2494653</v>
      </c>
      <c r="AE62" s="525">
        <v>24878</v>
      </c>
      <c r="AF62" s="525">
        <v>110631</v>
      </c>
      <c r="AG62" s="502"/>
      <c r="AH62" s="502"/>
      <c r="AI62" s="502"/>
      <c r="AJ62" s="502"/>
      <c r="AK62" s="502"/>
      <c r="AL62" s="545">
        <f t="shared" si="7"/>
        <v>-70000</v>
      </c>
      <c r="AM62" s="316">
        <f t="shared" si="8"/>
        <v>-2181894.6495894268</v>
      </c>
      <c r="AN62" s="34">
        <f t="shared" si="14"/>
        <v>-35236.466433865244</v>
      </c>
      <c r="AO62" s="506">
        <f t="shared" si="10"/>
        <v>110631.0000000009</v>
      </c>
      <c r="AP62" s="34">
        <f t="shared" si="15"/>
        <v>-25890.976524470545</v>
      </c>
      <c r="AQ62" s="504">
        <f t="shared" si="11"/>
        <v>110631.00000000115</v>
      </c>
    </row>
    <row r="63" spans="1:43" ht="13.8" thickBot="1">
      <c r="A63" s="533">
        <v>96</v>
      </c>
      <c r="B63" s="533">
        <v>61</v>
      </c>
      <c r="C63" s="533">
        <v>0</v>
      </c>
      <c r="D63" s="534">
        <v>0</v>
      </c>
      <c r="E63" s="534">
        <v>0</v>
      </c>
      <c r="F63" s="534">
        <v>2973</v>
      </c>
      <c r="G63" s="534">
        <v>0</v>
      </c>
      <c r="H63" s="534">
        <v>0</v>
      </c>
      <c r="I63" s="534">
        <v>120</v>
      </c>
      <c r="J63" s="534">
        <v>126568</v>
      </c>
      <c r="K63" s="534">
        <v>5281760</v>
      </c>
      <c r="L63" s="534">
        <v>0</v>
      </c>
      <c r="M63" s="534">
        <v>441199</v>
      </c>
      <c r="O63" s="487">
        <f t="shared" si="1"/>
        <v>3093</v>
      </c>
      <c r="P63" s="82"/>
      <c r="Q63" s="474">
        <f t="shared" si="13"/>
        <v>120</v>
      </c>
      <c r="R63" s="474">
        <f t="shared" si="5"/>
        <v>352569</v>
      </c>
      <c r="T63" s="548">
        <v>96</v>
      </c>
      <c r="U63" s="522">
        <v>61</v>
      </c>
      <c r="V63" s="522">
        <v>0</v>
      </c>
      <c r="W63" s="523">
        <v>0</v>
      </c>
      <c r="X63" s="523">
        <v>0</v>
      </c>
      <c r="Y63" s="523">
        <v>797</v>
      </c>
      <c r="Z63" s="523">
        <v>0</v>
      </c>
      <c r="AA63" s="523">
        <v>0</v>
      </c>
      <c r="AB63" s="523">
        <v>120</v>
      </c>
      <c r="AC63" s="523">
        <v>56164</v>
      </c>
      <c r="AD63" s="523">
        <v>2549901</v>
      </c>
      <c r="AE63" s="523">
        <v>0</v>
      </c>
      <c r="AF63" s="523">
        <v>118199</v>
      </c>
      <c r="AH63" s="1"/>
      <c r="AI63" s="318" t="s">
        <v>3675</v>
      </c>
      <c r="AJ63" s="1"/>
      <c r="AK63" s="1"/>
      <c r="AL63" s="514">
        <f>SUM(AL33:AL62)</f>
        <v>-2100125</v>
      </c>
      <c r="AM63" s="312"/>
      <c r="AN63" s="514">
        <f>SUM(AN33:AN62)</f>
        <v>-1057093.9930159573</v>
      </c>
      <c r="AO63" s="1"/>
      <c r="AP63" s="515">
        <f>SUM(AP33:AP62)</f>
        <v>-776729.29573411588</v>
      </c>
    </row>
    <row r="64" spans="1:43" ht="16.2" thickBot="1">
      <c r="A64" s="535">
        <v>97</v>
      </c>
      <c r="B64" s="535">
        <v>62</v>
      </c>
      <c r="C64" s="535">
        <v>0</v>
      </c>
      <c r="D64" s="536">
        <v>0</v>
      </c>
      <c r="E64" s="536">
        <v>0</v>
      </c>
      <c r="F64" s="536">
        <v>3178</v>
      </c>
      <c r="G64" s="536">
        <v>0</v>
      </c>
      <c r="H64" s="536">
        <v>0</v>
      </c>
      <c r="I64" s="536">
        <v>120</v>
      </c>
      <c r="J64" s="536">
        <v>130658</v>
      </c>
      <c r="K64" s="536">
        <v>5409120</v>
      </c>
      <c r="L64" s="536">
        <v>0</v>
      </c>
      <c r="M64" s="536">
        <v>471747</v>
      </c>
      <c r="O64" s="487">
        <f t="shared" si="1"/>
        <v>3298</v>
      </c>
      <c r="P64" s="82"/>
      <c r="Q64" s="474">
        <f t="shared" si="13"/>
        <v>120</v>
      </c>
      <c r="R64" s="474">
        <f t="shared" si="5"/>
        <v>352689</v>
      </c>
      <c r="T64" s="549">
        <v>97</v>
      </c>
      <c r="U64" s="524">
        <v>62</v>
      </c>
      <c r="V64" s="524">
        <v>0</v>
      </c>
      <c r="W64" s="525">
        <v>0</v>
      </c>
      <c r="X64" s="525">
        <v>0</v>
      </c>
      <c r="Y64" s="525">
        <v>851</v>
      </c>
      <c r="Z64" s="525">
        <v>0</v>
      </c>
      <c r="AA64" s="525">
        <v>0</v>
      </c>
      <c r="AB64" s="525">
        <v>120</v>
      </c>
      <c r="AC64" s="525">
        <v>57699</v>
      </c>
      <c r="AD64" s="525">
        <v>2606628</v>
      </c>
      <c r="AE64" s="525">
        <v>0</v>
      </c>
      <c r="AF64" s="525">
        <v>126292</v>
      </c>
      <c r="AH64" s="1"/>
      <c r="AI64" s="1"/>
      <c r="AJ64" s="1"/>
      <c r="AK64" s="1"/>
      <c r="AL64" s="38"/>
      <c r="AM64" s="312"/>
      <c r="AN64" s="1"/>
      <c r="AO64" s="342" t="s">
        <v>3617</v>
      </c>
      <c r="AP64" s="38"/>
    </row>
    <row r="65" spans="1:43" ht="18" thickBot="1">
      <c r="A65" s="533">
        <v>98</v>
      </c>
      <c r="B65" s="533">
        <v>63</v>
      </c>
      <c r="C65" s="533">
        <v>0</v>
      </c>
      <c r="D65" s="534">
        <v>0</v>
      </c>
      <c r="E65" s="534">
        <v>0</v>
      </c>
      <c r="F65" s="534">
        <v>3399</v>
      </c>
      <c r="G65" s="534">
        <v>0</v>
      </c>
      <c r="H65" s="534">
        <v>0</v>
      </c>
      <c r="I65" s="534">
        <v>120</v>
      </c>
      <c r="J65" s="534">
        <v>134939</v>
      </c>
      <c r="K65" s="534">
        <v>5540540</v>
      </c>
      <c r="L65" s="534">
        <v>0</v>
      </c>
      <c r="M65" s="534">
        <v>504420</v>
      </c>
      <c r="O65" s="487">
        <f t="shared" si="1"/>
        <v>3519</v>
      </c>
      <c r="P65" s="82"/>
      <c r="Q65" s="474">
        <f t="shared" si="13"/>
        <v>120</v>
      </c>
      <c r="R65" s="474">
        <f t="shared" si="5"/>
        <v>352809</v>
      </c>
      <c r="T65" s="548">
        <v>98</v>
      </c>
      <c r="U65" s="522">
        <v>63</v>
      </c>
      <c r="V65" s="522">
        <v>0</v>
      </c>
      <c r="W65" s="523">
        <v>0</v>
      </c>
      <c r="X65" s="523">
        <v>0</v>
      </c>
      <c r="Y65" s="523">
        <v>910</v>
      </c>
      <c r="Z65" s="523">
        <v>0</v>
      </c>
      <c r="AA65" s="523">
        <v>0</v>
      </c>
      <c r="AB65" s="523">
        <v>120</v>
      </c>
      <c r="AC65" s="523">
        <v>59292</v>
      </c>
      <c r="AD65" s="523">
        <v>2664891</v>
      </c>
      <c r="AE65" s="523">
        <v>0</v>
      </c>
      <c r="AF65" s="523">
        <v>134948</v>
      </c>
      <c r="AH65" s="1"/>
      <c r="AI65" s="1"/>
      <c r="AJ65" s="1"/>
      <c r="AK65" s="1"/>
      <c r="AL65" s="38"/>
      <c r="AM65" s="312"/>
      <c r="AN65" s="512">
        <f>AN63-AL63</f>
        <v>1043031.0069840427</v>
      </c>
      <c r="AO65" s="511"/>
      <c r="AP65" s="513">
        <f>AP63-AL63</f>
        <v>1323395.7042658841</v>
      </c>
      <c r="AQ65" s="488"/>
    </row>
    <row r="66" spans="1:43" ht="13.8" thickBot="1">
      <c r="A66" s="535">
        <v>99</v>
      </c>
      <c r="B66" s="535">
        <v>64</v>
      </c>
      <c r="C66" s="535">
        <v>0</v>
      </c>
      <c r="D66" s="536">
        <v>0</v>
      </c>
      <c r="E66" s="536">
        <v>0</v>
      </c>
      <c r="F66" s="536">
        <v>3634</v>
      </c>
      <c r="G66" s="536">
        <v>0</v>
      </c>
      <c r="H66" s="536">
        <v>0</v>
      </c>
      <c r="I66" s="536">
        <v>120</v>
      </c>
      <c r="J66" s="536">
        <v>139420</v>
      </c>
      <c r="K66" s="536">
        <v>5676206</v>
      </c>
      <c r="L66" s="536">
        <v>0</v>
      </c>
      <c r="M66" s="536">
        <v>539364</v>
      </c>
      <c r="O66" s="487">
        <f t="shared" si="1"/>
        <v>3754</v>
      </c>
      <c r="P66" s="82"/>
      <c r="Q66" s="474">
        <f t="shared" si="13"/>
        <v>120</v>
      </c>
      <c r="R66" s="474">
        <f t="shared" si="5"/>
        <v>352929</v>
      </c>
      <c r="T66" s="549">
        <v>99</v>
      </c>
      <c r="U66" s="524">
        <v>64</v>
      </c>
      <c r="V66" s="524">
        <v>0</v>
      </c>
      <c r="W66" s="525">
        <v>0</v>
      </c>
      <c r="X66" s="525">
        <v>0</v>
      </c>
      <c r="Y66" s="525">
        <v>972</v>
      </c>
      <c r="Z66" s="525">
        <v>0</v>
      </c>
      <c r="AA66" s="525">
        <v>0</v>
      </c>
      <c r="AB66" s="525">
        <v>120</v>
      </c>
      <c r="AC66" s="525">
        <v>60948</v>
      </c>
      <c r="AD66" s="525">
        <v>2724747</v>
      </c>
      <c r="AE66" s="525">
        <v>0</v>
      </c>
      <c r="AF66" s="525">
        <v>144205</v>
      </c>
      <c r="AH66" s="1"/>
      <c r="AI66" s="1"/>
      <c r="AJ66" s="1"/>
      <c r="AK66" s="1"/>
      <c r="AL66" s="38"/>
      <c r="AM66" s="312"/>
      <c r="AN66" s="1"/>
      <c r="AO66" s="218"/>
    </row>
    <row r="67" spans="1:43" ht="13.8" thickBot="1">
      <c r="A67" s="533">
        <v>100</v>
      </c>
      <c r="B67" s="533">
        <v>65</v>
      </c>
      <c r="C67" s="533">
        <v>0</v>
      </c>
      <c r="D67" s="534">
        <v>0</v>
      </c>
      <c r="E67" s="534">
        <v>0</v>
      </c>
      <c r="F67" s="534">
        <v>3886</v>
      </c>
      <c r="G67" s="534">
        <v>0</v>
      </c>
      <c r="H67" s="534">
        <v>0</v>
      </c>
      <c r="I67" s="534">
        <v>120</v>
      </c>
      <c r="J67" s="534">
        <v>144116</v>
      </c>
      <c r="K67" s="534">
        <v>5816316</v>
      </c>
      <c r="L67" s="534">
        <v>0</v>
      </c>
      <c r="M67" s="534">
        <v>634901</v>
      </c>
      <c r="O67" s="487">
        <f t="shared" si="1"/>
        <v>4006</v>
      </c>
      <c r="P67" s="82"/>
      <c r="Q67" s="474">
        <f t="shared" si="13"/>
        <v>120</v>
      </c>
      <c r="R67" s="474">
        <f t="shared" si="5"/>
        <v>353049</v>
      </c>
      <c r="T67" s="550">
        <v>100</v>
      </c>
      <c r="U67" s="522">
        <v>65</v>
      </c>
      <c r="V67" s="522">
        <v>0</v>
      </c>
      <c r="W67" s="523">
        <v>0</v>
      </c>
      <c r="X67" s="523">
        <v>0</v>
      </c>
      <c r="Y67" s="523">
        <v>1039</v>
      </c>
      <c r="Z67" s="523">
        <v>0</v>
      </c>
      <c r="AA67" s="523">
        <v>0</v>
      </c>
      <c r="AB67" s="523">
        <v>120</v>
      </c>
      <c r="AC67" s="523">
        <v>62671</v>
      </c>
      <c r="AD67" s="523">
        <v>2786259</v>
      </c>
      <c r="AE67" s="523">
        <v>0</v>
      </c>
      <c r="AF67" s="523">
        <v>181969</v>
      </c>
      <c r="AH67" s="1"/>
      <c r="AI67" s="1"/>
      <c r="AJ67" s="1"/>
      <c r="AK67" s="1"/>
      <c r="AL67" s="38"/>
      <c r="AM67" s="312"/>
      <c r="AN67" s="1"/>
      <c r="AO67" s="1"/>
    </row>
    <row r="68" spans="1:43">
      <c r="A68" s="519"/>
      <c r="B68" s="519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P68" s="82"/>
      <c r="Q68" s="474"/>
      <c r="R68" s="474"/>
      <c r="V68" s="540"/>
      <c r="W68" s="540"/>
      <c r="X68" s="540"/>
      <c r="Y68" s="540"/>
      <c r="Z68" s="540"/>
      <c r="AA68" s="540"/>
      <c r="AB68" s="540"/>
      <c r="AC68" s="540"/>
      <c r="AD68" s="540"/>
      <c r="AE68" s="540"/>
      <c r="AF68" s="540"/>
      <c r="AH68" s="1"/>
      <c r="AI68" s="1"/>
      <c r="AJ68" s="1"/>
      <c r="AK68" s="38"/>
      <c r="AL68" s="38"/>
      <c r="AM68" s="1"/>
    </row>
    <row r="69" spans="1:43">
      <c r="A69" s="519"/>
      <c r="B69" s="519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O69" s="487"/>
      <c r="P69" s="82"/>
      <c r="Q69" s="474"/>
      <c r="R69" s="474"/>
      <c r="V69" s="540"/>
      <c r="W69" s="540"/>
      <c r="X69" s="540"/>
      <c r="Y69" s="540"/>
      <c r="Z69" s="540"/>
      <c r="AA69" s="540"/>
      <c r="AB69" s="540"/>
      <c r="AC69" s="540"/>
      <c r="AD69" s="540"/>
      <c r="AE69" s="540"/>
      <c r="AF69" s="540"/>
      <c r="AH69" s="1"/>
      <c r="AI69" s="1"/>
      <c r="AJ69" s="1"/>
      <c r="AK69" s="38"/>
      <c r="AL69" s="38"/>
      <c r="AM69" s="1"/>
    </row>
    <row r="70" spans="1:43">
      <c r="A70" s="519"/>
      <c r="B70" s="519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O70" s="487"/>
      <c r="P70" s="82"/>
      <c r="Q70" s="474"/>
      <c r="R70" s="474"/>
      <c r="V70" s="540"/>
      <c r="W70" s="540"/>
      <c r="X70" s="540"/>
      <c r="Y70" s="540"/>
      <c r="Z70" s="540"/>
      <c r="AA70" s="540"/>
      <c r="AB70" s="540"/>
      <c r="AC70" s="540"/>
      <c r="AD70" s="540"/>
      <c r="AE70" s="540"/>
      <c r="AF70" s="540"/>
      <c r="AH70" s="1"/>
      <c r="AI70" s="1"/>
      <c r="AJ70" s="1"/>
      <c r="AL70" s="1"/>
      <c r="AM70" s="1"/>
    </row>
    <row r="71" spans="1:43">
      <c r="A71" s="519"/>
      <c r="B71" s="519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O71" s="487"/>
      <c r="P71" s="82"/>
      <c r="Q71" s="474"/>
      <c r="R71" s="474"/>
      <c r="V71" s="540"/>
      <c r="W71" s="540"/>
      <c r="X71" s="540"/>
      <c r="Y71" s="540"/>
      <c r="Z71" s="540"/>
      <c r="AA71" s="540"/>
      <c r="AB71" s="540"/>
      <c r="AC71" s="540"/>
      <c r="AD71" s="540"/>
      <c r="AE71" s="540"/>
      <c r="AF71" s="540"/>
      <c r="AH71" s="1"/>
      <c r="AI71" s="1"/>
      <c r="AJ71" s="1"/>
      <c r="AL71" s="1"/>
      <c r="AM71" s="1"/>
    </row>
    <row r="72" spans="1:43">
      <c r="A72" s="519"/>
      <c r="B72" s="519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O72" s="487"/>
      <c r="P72" s="82"/>
      <c r="Q72" s="474"/>
      <c r="R72" s="474"/>
      <c r="V72" s="540"/>
      <c r="W72" s="540"/>
      <c r="X72" s="540"/>
      <c r="Y72" s="540"/>
      <c r="Z72" s="540"/>
      <c r="AA72" s="540"/>
      <c r="AB72" s="540"/>
      <c r="AC72" s="540"/>
      <c r="AD72" s="540"/>
      <c r="AE72" s="540"/>
      <c r="AF72" s="540"/>
      <c r="AH72" s="1"/>
      <c r="AI72" s="1"/>
      <c r="AJ72" s="1"/>
      <c r="AK72" s="38"/>
      <c r="AL72" s="38"/>
      <c r="AM72" s="1"/>
    </row>
    <row r="73" spans="1:43">
      <c r="A73" s="519"/>
      <c r="B73" s="519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O73" s="487"/>
      <c r="P73" s="82"/>
      <c r="Q73" s="474"/>
      <c r="R73" s="474"/>
    </row>
    <row r="74" spans="1:43">
      <c r="D74" s="521"/>
      <c r="E74" s="521"/>
      <c r="F74" s="521"/>
      <c r="G74" s="521"/>
      <c r="H74" s="521"/>
      <c r="I74" s="521"/>
      <c r="J74" s="521"/>
      <c r="K74" s="521"/>
      <c r="L74" s="521"/>
      <c r="M74" s="521"/>
      <c r="O74" s="487"/>
      <c r="P74" s="82"/>
      <c r="Q74" s="474"/>
      <c r="R74" s="474"/>
    </row>
    <row r="75" spans="1:43"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O75" s="487"/>
      <c r="P75" s="82"/>
      <c r="Q75" s="474"/>
      <c r="R75" s="474"/>
    </row>
    <row r="76" spans="1:43">
      <c r="D76" s="521"/>
      <c r="E76" s="521"/>
      <c r="F76" s="521"/>
      <c r="G76" s="521"/>
      <c r="H76" s="521"/>
      <c r="I76" s="521"/>
      <c r="J76" s="521"/>
      <c r="K76" s="521"/>
      <c r="L76" s="521"/>
      <c r="M76" s="521"/>
      <c r="O76" s="487">
        <f>SUM(O3:O67)</f>
        <v>826131</v>
      </c>
      <c r="P76" s="82"/>
      <c r="Q76" s="474"/>
      <c r="R76" s="474"/>
    </row>
    <row r="77" spans="1:43">
      <c r="D77" s="521"/>
      <c r="E77" s="521"/>
      <c r="F77" s="521"/>
      <c r="G77" s="521"/>
      <c r="H77" s="521"/>
      <c r="I77" s="521"/>
      <c r="J77" s="521"/>
      <c r="K77" s="521"/>
      <c r="L77" s="521"/>
      <c r="M77" s="521"/>
      <c r="O77" s="487"/>
      <c r="P77" s="82"/>
      <c r="Q77" s="474"/>
      <c r="R77" s="474"/>
    </row>
    <row r="78" spans="1:43">
      <c r="D78" s="521"/>
      <c r="E78" s="521"/>
      <c r="F78" s="521"/>
      <c r="G78" s="521"/>
      <c r="H78" s="521"/>
      <c r="I78" s="521"/>
      <c r="J78" s="521"/>
      <c r="K78" s="521"/>
      <c r="L78" s="521"/>
      <c r="M78" s="521"/>
      <c r="O78" s="487"/>
      <c r="P78" s="82"/>
      <c r="Q78" s="474"/>
      <c r="R78" s="474"/>
    </row>
    <row r="79" spans="1:43">
      <c r="O79" s="487"/>
      <c r="P79" s="82"/>
      <c r="Q79" s="140"/>
      <c r="R79" s="140"/>
    </row>
    <row r="80" spans="1:43">
      <c r="O80" s="487"/>
      <c r="P80" s="82"/>
      <c r="Q80" s="140"/>
      <c r="R80" s="140"/>
    </row>
    <row r="81" spans="15:18">
      <c r="O81" s="487"/>
      <c r="P81" s="82"/>
      <c r="Q81" s="140"/>
      <c r="R81" s="140"/>
    </row>
    <row r="82" spans="15:18">
      <c r="O82" s="487"/>
      <c r="P82" s="82"/>
      <c r="Q82" s="140"/>
      <c r="R82" s="140"/>
    </row>
    <row r="83" spans="15:18">
      <c r="O83" s="487"/>
      <c r="P83" s="82"/>
      <c r="Q83" s="140"/>
      <c r="R83" s="140"/>
    </row>
    <row r="84" spans="15:18">
      <c r="O84" s="487"/>
      <c r="P84" s="82"/>
      <c r="Q84" s="140"/>
      <c r="R84" s="140"/>
    </row>
    <row r="85" spans="15:18">
      <c r="O85" s="487"/>
      <c r="P85" s="82"/>
      <c r="Q85" s="140"/>
      <c r="R85" s="140"/>
    </row>
    <row r="86" spans="15:18">
      <c r="O86" s="487"/>
      <c r="P86" s="82"/>
      <c r="Q86" s="140"/>
      <c r="R86" s="140"/>
    </row>
    <row r="87" spans="15:18">
      <c r="O87" s="487"/>
      <c r="P87" s="82"/>
      <c r="Q87" s="140"/>
      <c r="R87" s="140"/>
    </row>
    <row r="88" spans="15:18">
      <c r="O88" s="487"/>
      <c r="P88" s="82"/>
      <c r="Q88" s="140"/>
      <c r="R88" s="140"/>
    </row>
    <row r="89" spans="15:18">
      <c r="O89" s="487"/>
      <c r="P89" s="82"/>
      <c r="Q89" s="140"/>
      <c r="R89" s="140"/>
    </row>
    <row r="90" spans="15:18">
      <c r="O90" s="487"/>
      <c r="P90" s="82"/>
      <c r="Q90" s="140"/>
      <c r="R90" s="140"/>
    </row>
    <row r="91" spans="15:18">
      <c r="O91" s="487"/>
      <c r="P91" s="82"/>
      <c r="Q91" s="140"/>
      <c r="R91" s="140"/>
    </row>
    <row r="92" spans="15:18">
      <c r="O92" s="487"/>
      <c r="P92" s="82"/>
      <c r="Q92" s="140"/>
      <c r="R92" s="140"/>
    </row>
    <row r="93" spans="15:18">
      <c r="O93" s="487"/>
      <c r="P93" s="82"/>
      <c r="Q93" s="140"/>
      <c r="R93" s="140"/>
    </row>
    <row r="94" spans="15:18">
      <c r="O94" s="487"/>
      <c r="P94" s="82"/>
      <c r="Q94" s="140"/>
      <c r="R94" s="140"/>
    </row>
    <row r="95" spans="15:18">
      <c r="O95" s="487"/>
      <c r="P95" s="82"/>
      <c r="Q95" s="140"/>
      <c r="R95" s="140"/>
    </row>
    <row r="96" spans="15:18">
      <c r="O96" s="487"/>
      <c r="P96" s="82"/>
      <c r="Q96" s="140"/>
      <c r="R96" s="140"/>
    </row>
    <row r="97" spans="15:18">
      <c r="O97" s="487"/>
      <c r="P97" s="82"/>
      <c r="Q97" s="140"/>
      <c r="R97" s="140"/>
    </row>
    <row r="98" spans="15:18">
      <c r="O98" s="487"/>
      <c r="P98" s="82"/>
      <c r="Q98" s="140"/>
      <c r="R98" s="140"/>
    </row>
    <row r="99" spans="15:18">
      <c r="O99" s="487"/>
      <c r="P99" s="82"/>
      <c r="Q99" s="140"/>
      <c r="R99" s="140"/>
    </row>
    <row r="100" spans="15:18">
      <c r="O100" s="487"/>
      <c r="P100" s="82"/>
      <c r="Q100" s="140"/>
      <c r="R100" s="140"/>
    </row>
    <row r="101" spans="15:18">
      <c r="O101" s="487"/>
      <c r="P101" s="82"/>
      <c r="Q101" s="140"/>
      <c r="R101" s="140"/>
    </row>
    <row r="102" spans="15:18">
      <c r="O102" s="487"/>
      <c r="P102" s="82"/>
      <c r="Q102" s="140"/>
      <c r="R102" s="140"/>
    </row>
    <row r="103" spans="15:18">
      <c r="O103" s="487"/>
      <c r="P103" s="82"/>
      <c r="Q103" s="140"/>
      <c r="R103" s="140"/>
    </row>
    <row r="104" spans="15:18">
      <c r="O104" s="487"/>
      <c r="P104" s="82"/>
      <c r="Q104" s="140"/>
      <c r="R104" s="140"/>
    </row>
    <row r="105" spans="15:18">
      <c r="O105" s="487"/>
      <c r="P105" s="82"/>
      <c r="Q105" s="140"/>
      <c r="R105" s="140"/>
    </row>
    <row r="106" spans="15:18">
      <c r="O106" s="487"/>
      <c r="P106" s="82"/>
      <c r="Q106" s="140"/>
      <c r="R106" s="140"/>
    </row>
    <row r="107" spans="15:18">
      <c r="O107" s="487"/>
      <c r="P107" s="82"/>
      <c r="Q107" s="140"/>
      <c r="R107" s="140"/>
    </row>
    <row r="108" spans="15:18">
      <c r="O108" s="487"/>
      <c r="P108" s="82"/>
      <c r="Q108" s="140"/>
      <c r="R108" s="140"/>
    </row>
    <row r="109" spans="15:18">
      <c r="O109" s="487"/>
      <c r="P109" s="82"/>
      <c r="Q109" s="140"/>
      <c r="R109" s="140"/>
    </row>
    <row r="110" spans="15:18">
      <c r="O110" s="487"/>
      <c r="P110" s="82"/>
      <c r="Q110" s="140"/>
      <c r="R110" s="140"/>
    </row>
    <row r="111" spans="15:18">
      <c r="O111" s="487"/>
      <c r="P111" s="82"/>
      <c r="Q111" s="140"/>
      <c r="R111" s="140"/>
    </row>
    <row r="112" spans="15:18">
      <c r="O112" s="487"/>
      <c r="P112" s="82"/>
      <c r="Q112" s="140"/>
      <c r="R112" s="140"/>
    </row>
    <row r="113" spans="15:18">
      <c r="O113" s="487"/>
      <c r="P113" s="82"/>
      <c r="Q113" s="140"/>
      <c r="R113" s="140"/>
    </row>
    <row r="114" spans="15:18">
      <c r="O114" s="487"/>
      <c r="P114" s="82"/>
      <c r="Q114" s="140"/>
      <c r="R114" s="140"/>
    </row>
    <row r="115" spans="15:18">
      <c r="O115" s="487"/>
      <c r="P115" s="82"/>
      <c r="Q115" s="140"/>
      <c r="R115" s="140"/>
    </row>
    <row r="116" spans="15:18">
      <c r="O116" s="487"/>
      <c r="P116" s="82"/>
      <c r="Q116" s="140"/>
      <c r="R116" s="140"/>
    </row>
    <row r="117" spans="15:18">
      <c r="O117" s="487"/>
      <c r="P117" s="82"/>
      <c r="Q117" s="140"/>
      <c r="R117" s="140"/>
    </row>
    <row r="118" spans="15:18">
      <c r="O118" s="487"/>
      <c r="P118" s="82"/>
      <c r="Q118" s="140"/>
      <c r="R118" s="140"/>
    </row>
    <row r="119" spans="15:18">
      <c r="O119" s="487"/>
      <c r="P119" s="82"/>
      <c r="Q119" s="140"/>
      <c r="R119" s="140"/>
    </row>
    <row r="120" spans="15:18">
      <c r="O120" s="487"/>
      <c r="P120" s="82"/>
      <c r="Q120" s="140"/>
      <c r="R120" s="140"/>
    </row>
    <row r="121" spans="15:18">
      <c r="O121" s="487"/>
      <c r="P121" s="82"/>
      <c r="Q121" s="140"/>
      <c r="R121" s="140"/>
    </row>
    <row r="122" spans="15:18">
      <c r="O122" s="487"/>
      <c r="P122" s="82"/>
      <c r="Q122" s="140"/>
      <c r="R122" s="140"/>
    </row>
    <row r="123" spans="15:18">
      <c r="O123" s="487"/>
      <c r="P123" s="82"/>
      <c r="Q123" s="140"/>
      <c r="R123" s="140"/>
    </row>
    <row r="124" spans="15:18">
      <c r="O124" s="487"/>
      <c r="P124" s="82"/>
      <c r="Q124" s="140"/>
      <c r="R124" s="140"/>
    </row>
    <row r="125" spans="15:18">
      <c r="O125" s="487"/>
      <c r="P125" s="82"/>
      <c r="Q125" s="140"/>
      <c r="R125" s="140"/>
    </row>
    <row r="126" spans="15:18">
      <c r="O126" s="487"/>
      <c r="P126" s="82"/>
      <c r="Q126" s="140"/>
      <c r="R126" s="140"/>
    </row>
    <row r="127" spans="15:18">
      <c r="O127" s="487"/>
      <c r="P127" s="82"/>
      <c r="Q127" s="140"/>
      <c r="R127" s="140"/>
    </row>
    <row r="128" spans="15:18">
      <c r="O128" s="487"/>
      <c r="P128" s="82"/>
      <c r="Q128" s="140"/>
      <c r="R128" s="140"/>
    </row>
    <row r="129" spans="15:18">
      <c r="O129" s="487"/>
      <c r="P129" s="82"/>
      <c r="Q129" s="140"/>
      <c r="R129" s="140"/>
    </row>
    <row r="130" spans="15:18">
      <c r="O130" s="487"/>
      <c r="P130" s="82"/>
      <c r="Q130" s="140"/>
      <c r="R130" s="140"/>
    </row>
    <row r="131" spans="15:18">
      <c r="O131" s="487"/>
      <c r="P131" s="82"/>
      <c r="Q131" s="140"/>
      <c r="R131" s="140"/>
    </row>
    <row r="132" spans="15:18">
      <c r="O132" s="487"/>
      <c r="P132" s="82"/>
      <c r="Q132" s="140"/>
      <c r="R132" s="140"/>
    </row>
    <row r="133" spans="15:18">
      <c r="O133" s="487"/>
      <c r="P133" s="82"/>
      <c r="Q133" s="140"/>
      <c r="R133" s="140"/>
    </row>
    <row r="134" spans="15:18">
      <c r="O134" s="487"/>
      <c r="P134" s="82"/>
      <c r="Q134" s="140"/>
      <c r="R134" s="140"/>
    </row>
    <row r="135" spans="15:18">
      <c r="O135" s="487"/>
      <c r="P135" s="82"/>
      <c r="Q135" s="140"/>
      <c r="R135" s="140"/>
    </row>
    <row r="136" spans="15:18">
      <c r="O136" s="487"/>
      <c r="P136" s="82"/>
      <c r="Q136" s="140"/>
      <c r="R136" s="140"/>
    </row>
    <row r="137" spans="15:18">
      <c r="O137" s="487"/>
      <c r="P137" s="82"/>
      <c r="Q137" s="140"/>
      <c r="R137" s="140"/>
    </row>
    <row r="138" spans="15:18">
      <c r="O138" s="487"/>
      <c r="P138" s="82"/>
      <c r="Q138" s="140"/>
      <c r="R138" s="140"/>
    </row>
    <row r="139" spans="15:18">
      <c r="O139" s="487"/>
      <c r="P139" s="82"/>
      <c r="Q139" s="140"/>
      <c r="R139" s="140"/>
    </row>
    <row r="140" spans="15:18">
      <c r="O140" s="487"/>
      <c r="P140" s="82"/>
      <c r="Q140" s="140"/>
      <c r="R140" s="140"/>
    </row>
    <row r="141" spans="15:18">
      <c r="O141" s="487"/>
      <c r="P141" s="82"/>
      <c r="Q141" s="140"/>
      <c r="R141" s="140"/>
    </row>
    <row r="142" spans="15:18">
      <c r="O142" s="487"/>
      <c r="P142" s="82"/>
      <c r="Q142" s="140"/>
      <c r="R142" s="140"/>
    </row>
    <row r="143" spans="15:18">
      <c r="O143" s="487"/>
      <c r="P143" s="82"/>
      <c r="Q143" s="140"/>
      <c r="R143" s="140"/>
    </row>
    <row r="144" spans="15:18">
      <c r="O144" s="487"/>
      <c r="P144" s="82"/>
      <c r="Q144" s="140"/>
      <c r="R144" s="140"/>
    </row>
  </sheetData>
  <mergeCells count="4">
    <mergeCell ref="AH1:AI1"/>
    <mergeCell ref="AJ1:AK1"/>
    <mergeCell ref="AL1:AM1"/>
    <mergeCell ref="V1:A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100"/>
  <sheetViews>
    <sheetView topLeftCell="A31" zoomScaleNormal="100" workbookViewId="0">
      <selection activeCell="AG21" sqref="AG21"/>
    </sheetView>
  </sheetViews>
  <sheetFormatPr defaultRowHeight="15.75" customHeight="1"/>
  <cols>
    <col min="1" max="1" width="4.109375" customWidth="1"/>
    <col min="2" max="2" width="8.5546875" style="219" customWidth="1"/>
    <col min="3" max="3" width="9.21875" bestFit="1" customWidth="1"/>
    <col min="4" max="4" width="10" customWidth="1"/>
    <col min="5" max="5" width="9.109375" style="574" bestFit="1" customWidth="1"/>
    <col min="6" max="6" width="9.33203125" style="82" customWidth="1"/>
    <col min="7" max="7" width="9.33203125" style="137" customWidth="1"/>
    <col min="8" max="12" width="9.33203125" style="137" hidden="1" customWidth="1"/>
    <col min="13" max="13" width="9.33203125" style="142" hidden="1" customWidth="1"/>
    <col min="14" max="14" width="3.5546875" style="142" customWidth="1"/>
    <col min="15" max="15" width="8" style="82" customWidth="1"/>
    <col min="17" max="17" width="9.33203125" style="82" customWidth="1"/>
    <col min="18" max="18" width="9.33203125" style="137" customWidth="1"/>
    <col min="19" max="24" width="9.33203125" style="137" hidden="1" customWidth="1"/>
    <col min="25" max="25" width="6.33203125" style="137" customWidth="1"/>
    <col min="26" max="26" width="10.6640625" style="80" customWidth="1"/>
    <col min="27" max="27" width="8.33203125" customWidth="1"/>
    <col min="28" max="28" width="7.6640625" style="82" customWidth="1"/>
    <col min="29" max="29" width="16.77734375" customWidth="1"/>
    <col min="30" max="30" width="16.33203125" customWidth="1"/>
    <col min="31" max="31" width="8" style="82" customWidth="1"/>
    <col min="32" max="32" width="11" style="82" customWidth="1"/>
    <col min="33" max="33" width="12" style="82" customWidth="1"/>
    <col min="35" max="35" width="12.33203125" style="80" customWidth="1"/>
    <col min="36" max="36" width="9.6640625" style="86" customWidth="1"/>
    <col min="37" max="37" width="12.44140625" style="77" customWidth="1"/>
    <col min="38" max="38" width="13.44140625" style="77" customWidth="1"/>
    <col min="39" max="39" width="14" style="78" customWidth="1"/>
    <col min="40" max="40" width="13.33203125" style="87" customWidth="1"/>
    <col min="41" max="41" width="10" style="83" customWidth="1"/>
    <col min="42" max="42" width="13.5546875" style="77" customWidth="1"/>
    <col min="43" max="43" width="11.6640625" style="77" customWidth="1"/>
  </cols>
  <sheetData>
    <row r="1" spans="1:43" ht="15.75" customHeight="1" thickBot="1"/>
    <row r="2" spans="1:43" ht="15.75" customHeight="1" thickBot="1">
      <c r="B2" s="349" t="s">
        <v>87</v>
      </c>
      <c r="C2" s="78" t="s">
        <v>92</v>
      </c>
      <c r="D2" s="688" t="s">
        <v>3707</v>
      </c>
      <c r="E2" s="575" t="s">
        <v>93</v>
      </c>
      <c r="F2" s="83" t="s">
        <v>94</v>
      </c>
      <c r="G2" s="137" t="s">
        <v>88</v>
      </c>
      <c r="O2" s="141">
        <v>7.4999999999999997E-3</v>
      </c>
      <c r="P2" s="78" t="s">
        <v>93</v>
      </c>
      <c r="Q2" s="82" t="s">
        <v>94</v>
      </c>
      <c r="R2" s="137" t="s">
        <v>88</v>
      </c>
      <c r="Y2" s="578"/>
      <c r="Z2" s="582"/>
      <c r="AA2" s="579"/>
      <c r="AB2" s="580"/>
      <c r="AC2" s="579"/>
      <c r="AD2" s="579"/>
      <c r="AE2" s="580"/>
      <c r="AF2" s="580"/>
      <c r="AG2" s="580"/>
      <c r="AI2" s="139" t="s">
        <v>96</v>
      </c>
      <c r="AJ2" s="747" t="s">
        <v>91</v>
      </c>
      <c r="AK2" s="748"/>
      <c r="AL2" s="749"/>
      <c r="AM2" s="751" t="s">
        <v>95</v>
      </c>
      <c r="AN2" s="751"/>
      <c r="AO2" s="154">
        <v>-0.02</v>
      </c>
      <c r="AP2" s="752" t="s">
        <v>85</v>
      </c>
      <c r="AQ2" s="753"/>
    </row>
    <row r="3" spans="1:43" ht="15.75" customHeight="1" thickBot="1">
      <c r="B3" s="350"/>
      <c r="E3" s="574">
        <v>1</v>
      </c>
      <c r="F3" s="81"/>
      <c r="O3" s="141">
        <v>0.15</v>
      </c>
      <c r="P3">
        <v>1</v>
      </c>
      <c r="Q3" s="81"/>
      <c r="Y3" s="578"/>
      <c r="Z3" s="743" t="s">
        <v>99</v>
      </c>
      <c r="AA3" s="754" t="s">
        <v>3689</v>
      </c>
      <c r="AB3" s="755"/>
      <c r="AC3" s="756"/>
      <c r="AD3" s="757" t="s">
        <v>3690</v>
      </c>
      <c r="AE3" s="757"/>
      <c r="AF3" s="758"/>
      <c r="AG3" s="579"/>
      <c r="AI3" s="161">
        <v>1000000</v>
      </c>
      <c r="AJ3" s="162"/>
      <c r="AK3" s="163"/>
      <c r="AL3" s="164"/>
      <c r="AM3" s="750">
        <f>AK25</f>
        <v>4.4575633821567928E-2</v>
      </c>
      <c r="AN3" s="750"/>
      <c r="AO3" s="155">
        <v>7.4999999999999997E-3</v>
      </c>
      <c r="AP3" s="157"/>
      <c r="AQ3" s="158"/>
    </row>
    <row r="4" spans="1:43" ht="15.75" customHeight="1" thickBot="1">
      <c r="A4" s="222">
        <v>1</v>
      </c>
      <c r="B4" s="684">
        <f>Investment!AQ7</f>
        <v>1928</v>
      </c>
      <c r="C4" s="685">
        <f>Investment!AT7/100</f>
        <v>0.43609999999999999</v>
      </c>
      <c r="D4" s="685">
        <f>Investment!AR7/100</f>
        <v>0.37880000000000003</v>
      </c>
      <c r="E4" s="574">
        <f>E3*(1+C4)</f>
        <v>1.4360999999999999</v>
      </c>
      <c r="O4" s="82">
        <f>IF(D4&gt;O$3,O$3,IF(D4&lt;O$2,O$2,D4))</f>
        <v>0.15</v>
      </c>
      <c r="P4">
        <f>P3*(1+O4)</f>
        <v>1.1499999999999999</v>
      </c>
      <c r="Y4" s="578"/>
      <c r="Z4" s="744"/>
      <c r="AA4" s="591" t="s">
        <v>3688</v>
      </c>
      <c r="AB4" s="592" t="s">
        <v>3687</v>
      </c>
      <c r="AC4" s="596" t="s">
        <v>89</v>
      </c>
      <c r="AD4" s="592" t="s">
        <v>3688</v>
      </c>
      <c r="AE4" s="592" t="s">
        <v>3687</v>
      </c>
      <c r="AF4" s="596" t="s">
        <v>89</v>
      </c>
      <c r="AG4" s="580"/>
      <c r="AI4" s="169" t="s">
        <v>5</v>
      </c>
      <c r="AJ4" s="172" t="s">
        <v>89</v>
      </c>
      <c r="AK4" s="173" t="s">
        <v>90</v>
      </c>
      <c r="AL4" s="174">
        <v>-50000</v>
      </c>
      <c r="AM4" s="170" t="s">
        <v>90</v>
      </c>
      <c r="AN4" s="165">
        <f>AL4</f>
        <v>-50000</v>
      </c>
      <c r="AO4" s="156">
        <v>0.15</v>
      </c>
      <c r="AP4" s="159" t="s">
        <v>90</v>
      </c>
      <c r="AQ4" s="160">
        <f>AL4</f>
        <v>-50000</v>
      </c>
    </row>
    <row r="5" spans="1:43" ht="15.75" customHeight="1">
      <c r="A5" s="222">
        <v>2</v>
      </c>
      <c r="B5" s="684">
        <f>Investment!AQ8</f>
        <v>1929</v>
      </c>
      <c r="C5" s="685">
        <f>Investment!AT8/100</f>
        <v>-8.4199999999999997E-2</v>
      </c>
      <c r="D5" s="685">
        <f>Investment!AR8/100</f>
        <v>-0.1191</v>
      </c>
      <c r="E5" s="574">
        <f t="shared" ref="E5:E68" si="0">E4*(1+C5)</f>
        <v>1.3151803799999999</v>
      </c>
      <c r="O5" s="82">
        <f t="shared" ref="O5:O68" si="1">IF(D5&gt;O$3,O$3,IF(D5&lt;O$2,O$2,D5))</f>
        <v>7.4999999999999997E-3</v>
      </c>
      <c r="P5">
        <f t="shared" ref="P5:P68" si="2">P4*(1+O5)</f>
        <v>1.158625</v>
      </c>
      <c r="Y5" s="578"/>
      <c r="Z5" s="587" t="s">
        <v>97</v>
      </c>
      <c r="AA5" s="587">
        <f>AB5-20+1</f>
        <v>1929</v>
      </c>
      <c r="AB5" s="582">
        <f>INDEX(B$4:B$100,MATCH(AC5,G$4:G$100,0))</f>
        <v>1948</v>
      </c>
      <c r="AC5" s="589">
        <f>MIN(G$4:G$100)</f>
        <v>3.107659564318066E-2</v>
      </c>
      <c r="AD5" s="586">
        <f>AE5-20+1</f>
        <v>1929</v>
      </c>
      <c r="AE5" s="588">
        <f>INDEX(B$4:B$100,MATCH(AF5,R$4:R$100,0))</f>
        <v>1948</v>
      </c>
      <c r="AF5" s="589">
        <f>MIN(R$4:R$100)</f>
        <v>6.0492517527657608E-2</v>
      </c>
      <c r="AG5" s="580"/>
      <c r="AH5">
        <v>1</v>
      </c>
      <c r="AI5" s="143">
        <v>1930</v>
      </c>
      <c r="AJ5" s="175">
        <f t="shared" ref="AJ5:AJ24" si="3">LOOKUP(AI5,B$4:B$95,C$4:C$95)</f>
        <v>-0.249</v>
      </c>
      <c r="AK5" s="144">
        <f>AI3*(1+AJ5)</f>
        <v>751000</v>
      </c>
      <c r="AL5" s="147">
        <f>(AI3+AL4)*(1+AJ5)</f>
        <v>713450</v>
      </c>
      <c r="AM5" s="171">
        <f>AI3*(1+AM$3)</f>
        <v>1044575.633821568</v>
      </c>
      <c r="AN5" s="166">
        <f>(AI$3+AN4)*(1+AM3)</f>
        <v>992346.85213048954</v>
      </c>
      <c r="AO5" s="146">
        <f>IF(AJ5&gt;AO$4,AO$4,IF(AJ5&lt;AO$3,AO$3,AJ5))+AO$2</f>
        <v>-1.2500000000000001E-2</v>
      </c>
      <c r="AP5" s="144">
        <f>AI3*(1+AO5)</f>
        <v>987500</v>
      </c>
      <c r="AQ5" s="147">
        <f>(AI3+AQ$4)*(1+AO5)</f>
        <v>938125</v>
      </c>
    </row>
    <row r="6" spans="1:43" ht="15.75" customHeight="1">
      <c r="A6" s="222">
        <v>3</v>
      </c>
      <c r="B6" s="684">
        <f>Investment!AQ9</f>
        <v>1930</v>
      </c>
      <c r="C6" s="685">
        <f>Investment!AT9/100</f>
        <v>-0.249</v>
      </c>
      <c r="D6" s="685">
        <f>Investment!AR9/100</f>
        <v>-0.2848</v>
      </c>
      <c r="E6" s="574">
        <f t="shared" si="0"/>
        <v>0.98770046537999989</v>
      </c>
      <c r="O6" s="82">
        <f t="shared" si="1"/>
        <v>7.4999999999999997E-3</v>
      </c>
      <c r="P6">
        <f t="shared" si="2"/>
        <v>1.1673146875</v>
      </c>
      <c r="Y6" s="578"/>
      <c r="Z6" s="590">
        <v>0.25</v>
      </c>
      <c r="AA6" s="587">
        <f t="shared" ref="AA6:AA9" si="4">AB6-20+1</f>
        <v>1996</v>
      </c>
      <c r="AB6" s="582">
        <f>INDEX(B$4:B$100,MATCH(MIN(K$4:K$100),K$4:K$100,0))</f>
        <v>2015</v>
      </c>
      <c r="AC6" s="589">
        <f>QUARTILE(G$4:G$100,1)</f>
        <v>8.1904985671131025E-2</v>
      </c>
      <c r="AD6" s="586">
        <f t="shared" ref="AD6:AD9" si="5">AE6-20+1</f>
        <v>1937</v>
      </c>
      <c r="AE6" s="588">
        <f>INDEX(B$4:B$100,MATCH(MIN(V$4:V$100),V$4:V$100,0))</f>
        <v>1956</v>
      </c>
      <c r="AF6" s="589">
        <f>QUARTILE(R$4:R$100,1)</f>
        <v>7.9030069513933654E-2</v>
      </c>
      <c r="AG6" s="580"/>
      <c r="AH6">
        <v>2</v>
      </c>
      <c r="AI6" s="66">
        <f>AI5+1</f>
        <v>1931</v>
      </c>
      <c r="AJ6" s="175">
        <f t="shared" si="3"/>
        <v>-0.43340000000000001</v>
      </c>
      <c r="AK6" s="144">
        <f t="shared" ref="AK6:AK24" si="6">AK5*(1+AJ6)</f>
        <v>425516.6</v>
      </c>
      <c r="AL6" s="147">
        <f t="shared" ref="AL6:AL24" si="7">(AL5+AL$4)*(1+AJ6)</f>
        <v>375910.77</v>
      </c>
      <c r="AM6" s="145">
        <f t="shared" ref="AM6:AM24" si="8">AM5*(1+AM$3)</f>
        <v>1091138.2547737304</v>
      </c>
      <c r="AN6" s="167">
        <f t="shared" ref="AN6:AN24" si="9">(AN5+AN$4)*(1+AM$3)</f>
        <v>984352.56034396542</v>
      </c>
      <c r="AO6" s="146">
        <f t="shared" ref="AO6:AO24" si="10">IF(AJ6&gt;AO$4,AO$4,IF(AJ6&lt;AO$3,AO$3,AJ6))+AO$2</f>
        <v>-1.2500000000000001E-2</v>
      </c>
      <c r="AP6" s="144">
        <f t="shared" ref="AP6:AP24" si="11">AP5*(1+AO6)</f>
        <v>975156.25</v>
      </c>
      <c r="AQ6" s="147">
        <f t="shared" ref="AQ6:AQ24" si="12">(AQ5+AQ$4)*(1+AO6)</f>
        <v>877023.4375</v>
      </c>
    </row>
    <row r="7" spans="1:43" ht="15.75" customHeight="1">
      <c r="A7" s="222">
        <v>4</v>
      </c>
      <c r="B7" s="684">
        <f>Investment!AQ10</f>
        <v>1931</v>
      </c>
      <c r="C7" s="685">
        <f>Investment!AT10/100</f>
        <v>-0.43340000000000001</v>
      </c>
      <c r="D7" s="685">
        <f>Investment!AR10/100</f>
        <v>-0.47070000000000001</v>
      </c>
      <c r="E7" s="574">
        <f t="shared" si="0"/>
        <v>0.55963108368430792</v>
      </c>
      <c r="O7" s="82">
        <f t="shared" si="1"/>
        <v>7.4999999999999997E-3</v>
      </c>
      <c r="P7">
        <f t="shared" si="2"/>
        <v>1.1760695476562502</v>
      </c>
      <c r="Y7" s="578"/>
      <c r="Z7" s="590">
        <v>0.5</v>
      </c>
      <c r="AA7" s="587">
        <f t="shared" si="4"/>
        <v>1968</v>
      </c>
      <c r="AB7" s="582">
        <f>INDEX(B$4:B$100,MATCH(MIN(L$4:L$100),L$4:L$100,0))</f>
        <v>1987</v>
      </c>
      <c r="AC7" s="589">
        <f>MEDIAN(G$4:G$100)</f>
        <v>0.1144087236359852</v>
      </c>
      <c r="AD7" s="586">
        <f t="shared" si="5"/>
        <v>1997</v>
      </c>
      <c r="AE7" s="588">
        <f>INDEX(B$4:B$100,MATCH(MIN(W$4:W$100),W$4:W$100,0))</f>
        <v>2016</v>
      </c>
      <c r="AF7" s="589">
        <f>MEDIAN(R$4:R$100)</f>
        <v>8.3640508556555249E-2</v>
      </c>
      <c r="AG7" s="580"/>
      <c r="AH7">
        <v>3</v>
      </c>
      <c r="AI7" s="66">
        <f t="shared" ref="AI7:AI24" si="13">AI6+1</f>
        <v>1932</v>
      </c>
      <c r="AJ7" s="175">
        <f t="shared" si="3"/>
        <v>-8.1900000000000001E-2</v>
      </c>
      <c r="AK7" s="144">
        <f t="shared" si="6"/>
        <v>390666.79045999999</v>
      </c>
      <c r="AL7" s="147">
        <f t="shared" si="7"/>
        <v>299218.677937</v>
      </c>
      <c r="AM7" s="145">
        <f t="shared" si="8"/>
        <v>1139776.4340672288</v>
      </c>
      <c r="AN7" s="167">
        <f t="shared" si="9"/>
        <v>976001.91793410247</v>
      </c>
      <c r="AO7" s="146">
        <f t="shared" si="10"/>
        <v>-1.2500000000000001E-2</v>
      </c>
      <c r="AP7" s="144">
        <f t="shared" si="11"/>
        <v>962966.796875</v>
      </c>
      <c r="AQ7" s="147">
        <f t="shared" si="12"/>
        <v>816685.64453125</v>
      </c>
    </row>
    <row r="8" spans="1:43" ht="15.75" customHeight="1">
      <c r="A8" s="222">
        <v>5</v>
      </c>
      <c r="B8" s="684">
        <f>Investment!AQ11</f>
        <v>1932</v>
      </c>
      <c r="C8" s="685">
        <f>Investment!AT11/100</f>
        <v>-8.1900000000000001E-2</v>
      </c>
      <c r="D8" s="685">
        <f>Investment!AR11/100</f>
        <v>-0.14779999999999999</v>
      </c>
      <c r="E8" s="574">
        <f t="shared" si="0"/>
        <v>0.51379729793056317</v>
      </c>
      <c r="O8" s="82">
        <f t="shared" si="1"/>
        <v>7.4999999999999997E-3</v>
      </c>
      <c r="P8">
        <f t="shared" si="2"/>
        <v>1.1848900692636721</v>
      </c>
      <c r="Y8" s="578"/>
      <c r="Z8" s="590">
        <v>0.75</v>
      </c>
      <c r="AA8" s="587">
        <f t="shared" si="4"/>
        <v>1939</v>
      </c>
      <c r="AB8" s="582">
        <f>INDEX(B$4:B$100,MATCH(MIN(M$4:M$100),M$4:M$100,0))</f>
        <v>1958</v>
      </c>
      <c r="AC8" s="589">
        <f>QUARTILE(G$4:G$100,3)</f>
        <v>0.13469682810031108</v>
      </c>
      <c r="AD8" s="586">
        <f t="shared" si="5"/>
        <v>1970</v>
      </c>
      <c r="AE8" s="588">
        <f>INDEX(B$4:B$100,MATCH(MIN(X$4:X$100),X$4:X$100,0))</f>
        <v>1989</v>
      </c>
      <c r="AF8" s="589">
        <f>QUARTILE(R$4:R$100,3)</f>
        <v>8.7075171858263856E-2</v>
      </c>
      <c r="AG8" s="580"/>
      <c r="AH8">
        <v>4</v>
      </c>
      <c r="AI8" s="66">
        <f t="shared" si="13"/>
        <v>1933</v>
      </c>
      <c r="AJ8" s="175">
        <f t="shared" si="3"/>
        <v>0.53990000000000005</v>
      </c>
      <c r="AK8" s="144">
        <f t="shared" si="6"/>
        <v>601587.79062935396</v>
      </c>
      <c r="AL8" s="147">
        <f t="shared" si="7"/>
        <v>383771.84215518628</v>
      </c>
      <c r="AM8" s="145">
        <f t="shared" si="8"/>
        <v>1190582.691030662</v>
      </c>
      <c r="AN8" s="167">
        <f t="shared" si="9"/>
        <v>967279.04034600267</v>
      </c>
      <c r="AO8" s="146">
        <f t="shared" si="10"/>
        <v>0.13</v>
      </c>
      <c r="AP8" s="144">
        <f t="shared" si="11"/>
        <v>1088152.48046875</v>
      </c>
      <c r="AQ8" s="147">
        <f t="shared" si="12"/>
        <v>866354.77832031238</v>
      </c>
    </row>
    <row r="9" spans="1:43" ht="15.75" customHeight="1" thickBot="1">
      <c r="A9" s="222">
        <v>6</v>
      </c>
      <c r="B9" s="684">
        <f>Investment!AQ12</f>
        <v>1933</v>
      </c>
      <c r="C9" s="685">
        <f>Investment!AT12/100</f>
        <v>0.53990000000000005</v>
      </c>
      <c r="D9" s="685">
        <f>Investment!AR12/100</f>
        <v>0.44079999999999997</v>
      </c>
      <c r="E9" s="574">
        <f t="shared" si="0"/>
        <v>0.79119645908327429</v>
      </c>
      <c r="O9" s="82">
        <f t="shared" si="1"/>
        <v>0.15</v>
      </c>
      <c r="P9">
        <f t="shared" si="2"/>
        <v>1.3626235796532229</v>
      </c>
      <c r="Y9" s="578"/>
      <c r="Z9" s="591" t="s">
        <v>98</v>
      </c>
      <c r="AA9" s="591">
        <f t="shared" si="4"/>
        <v>1980</v>
      </c>
      <c r="AB9" s="592">
        <f>INDEX(B$4:B$100,MATCH(AC9,G$4:G$100,0))</f>
        <v>1999</v>
      </c>
      <c r="AC9" s="595">
        <f>MAX(G$4:G$100)</f>
        <v>0.17878842730871547</v>
      </c>
      <c r="AD9" s="593">
        <f t="shared" si="5"/>
        <v>1980</v>
      </c>
      <c r="AE9" s="594">
        <f>INDEX(B$4:B$100,MATCH(AF9,R$4:R$100,0))</f>
        <v>1999</v>
      </c>
      <c r="AF9" s="595">
        <f>MAX(R$4:R$100)</f>
        <v>0.10279222680457156</v>
      </c>
      <c r="AG9" s="580"/>
      <c r="AH9">
        <v>5</v>
      </c>
      <c r="AI9" s="66">
        <f t="shared" si="13"/>
        <v>1934</v>
      </c>
      <c r="AJ9" s="175">
        <f t="shared" si="3"/>
        <v>-1.44E-2</v>
      </c>
      <c r="AK9" s="144">
        <f t="shared" si="6"/>
        <v>592924.92644429125</v>
      </c>
      <c r="AL9" s="147">
        <f t="shared" si="7"/>
        <v>328965.52762815164</v>
      </c>
      <c r="AM9" s="145">
        <f t="shared" si="8"/>
        <v>1243653.6691003419</v>
      </c>
      <c r="AN9" s="167">
        <f t="shared" si="9"/>
        <v>958167.33496066532</v>
      </c>
      <c r="AO9" s="146">
        <f t="shared" si="10"/>
        <v>-1.2500000000000001E-2</v>
      </c>
      <c r="AP9" s="144">
        <f t="shared" si="11"/>
        <v>1074550.5744628906</v>
      </c>
      <c r="AQ9" s="147">
        <f t="shared" si="12"/>
        <v>806150.34359130857</v>
      </c>
    </row>
    <row r="10" spans="1:43" s="79" customFormat="1" ht="15.75" customHeight="1" thickBot="1">
      <c r="A10" s="686">
        <v>7</v>
      </c>
      <c r="B10" s="684">
        <f>Investment!AQ13</f>
        <v>1934</v>
      </c>
      <c r="C10" s="685">
        <f>Investment!AT13/100</f>
        <v>-1.44E-2</v>
      </c>
      <c r="D10" s="685">
        <f>Investment!AR13/100</f>
        <v>-4.7100000000000003E-2</v>
      </c>
      <c r="E10" s="574">
        <f t="shared" si="0"/>
        <v>0.77980323007247521</v>
      </c>
      <c r="F10" s="85"/>
      <c r="G10" s="142"/>
      <c r="H10" s="142"/>
      <c r="I10" s="142"/>
      <c r="J10" s="142"/>
      <c r="K10" s="142"/>
      <c r="L10" s="142"/>
      <c r="M10" s="142"/>
      <c r="N10" s="142"/>
      <c r="O10" s="82">
        <f t="shared" si="1"/>
        <v>7.4999999999999997E-3</v>
      </c>
      <c r="P10">
        <f t="shared" si="2"/>
        <v>1.3728432565006221</v>
      </c>
      <c r="Q10" s="85"/>
      <c r="R10" s="142"/>
      <c r="S10" s="142"/>
      <c r="T10" s="142"/>
      <c r="U10" s="142"/>
      <c r="V10" s="142"/>
      <c r="W10" s="142"/>
      <c r="X10" s="142"/>
      <c r="Y10" s="578"/>
      <c r="Z10" s="582"/>
      <c r="AA10" s="579"/>
      <c r="AB10" s="580"/>
      <c r="AC10" s="579"/>
      <c r="AD10" s="579"/>
      <c r="AE10" s="580"/>
      <c r="AF10" s="580"/>
      <c r="AG10" s="579"/>
      <c r="AH10">
        <v>6</v>
      </c>
      <c r="AI10" s="66">
        <f t="shared" si="13"/>
        <v>1935</v>
      </c>
      <c r="AJ10" s="175">
        <f t="shared" si="3"/>
        <v>0.47670000000000001</v>
      </c>
      <c r="AK10" s="148">
        <f t="shared" si="6"/>
        <v>875572.23888028495</v>
      </c>
      <c r="AL10" s="150">
        <f t="shared" si="7"/>
        <v>411948.39464849158</v>
      </c>
      <c r="AM10" s="149">
        <f t="shared" si="8"/>
        <v>1299090.3196550081</v>
      </c>
      <c r="AN10" s="168">
        <f t="shared" si="9"/>
        <v>948649.46953258116</v>
      </c>
      <c r="AO10" s="146">
        <f t="shared" si="10"/>
        <v>0.13</v>
      </c>
      <c r="AP10" s="148">
        <f t="shared" si="11"/>
        <v>1214242.1491430663</v>
      </c>
      <c r="AQ10" s="150">
        <f t="shared" si="12"/>
        <v>854449.8882581786</v>
      </c>
    </row>
    <row r="11" spans="1:43" ht="15.75" customHeight="1" thickBot="1">
      <c r="A11" s="222">
        <v>8</v>
      </c>
      <c r="B11" s="684">
        <f>Investment!AQ14</f>
        <v>1935</v>
      </c>
      <c r="C11" s="685">
        <f>Investment!AT14/100</f>
        <v>0.47670000000000001</v>
      </c>
      <c r="D11" s="685">
        <f>Investment!AR14/100</f>
        <v>0.41369999999999996</v>
      </c>
      <c r="E11" s="574">
        <f t="shared" si="0"/>
        <v>1.1515354298480243</v>
      </c>
      <c r="O11" s="82">
        <f t="shared" si="1"/>
        <v>0.15</v>
      </c>
      <c r="P11">
        <f t="shared" si="2"/>
        <v>1.5787697449757152</v>
      </c>
      <c r="Y11" s="578"/>
      <c r="Z11" s="745" t="s">
        <v>100</v>
      </c>
      <c r="AA11" s="738" t="s">
        <v>3689</v>
      </c>
      <c r="AB11" s="739"/>
      <c r="AC11" s="740"/>
      <c r="AD11" s="741" t="s">
        <v>3690</v>
      </c>
      <c r="AE11" s="741"/>
      <c r="AF11" s="742"/>
      <c r="AG11" s="579"/>
      <c r="AH11">
        <v>7</v>
      </c>
      <c r="AI11" s="66">
        <f t="shared" si="13"/>
        <v>1936</v>
      </c>
      <c r="AJ11" s="175">
        <f t="shared" si="3"/>
        <v>0.3392</v>
      </c>
      <c r="AK11" s="148">
        <f t="shared" si="6"/>
        <v>1172566.3423084775</v>
      </c>
      <c r="AL11" s="147">
        <f t="shared" si="7"/>
        <v>484721.29011325992</v>
      </c>
      <c r="AM11" s="149">
        <f t="shared" si="8"/>
        <v>1356998.0940450935</v>
      </c>
      <c r="AN11" s="167">
        <f t="shared" si="9"/>
        <v>938707.33922041173</v>
      </c>
      <c r="AO11" s="146">
        <f t="shared" si="10"/>
        <v>0.13</v>
      </c>
      <c r="AP11" s="148">
        <f t="shared" si="11"/>
        <v>1372093.6285316648</v>
      </c>
      <c r="AQ11" s="147">
        <f t="shared" si="12"/>
        <v>909028.37373174168</v>
      </c>
    </row>
    <row r="12" spans="1:43" ht="15.75" customHeight="1" thickBot="1">
      <c r="A12" s="222">
        <v>9</v>
      </c>
      <c r="B12" s="684">
        <f>Investment!AQ15</f>
        <v>1936</v>
      </c>
      <c r="C12" s="685">
        <f>Investment!AT15/100</f>
        <v>0.3392</v>
      </c>
      <c r="D12" s="685">
        <f>Investment!AR15/100</f>
        <v>0.2792</v>
      </c>
      <c r="E12" s="574">
        <f t="shared" si="0"/>
        <v>1.542136247652474</v>
      </c>
      <c r="O12" s="82">
        <f t="shared" si="1"/>
        <v>0.15</v>
      </c>
      <c r="P12">
        <f t="shared" si="2"/>
        <v>1.8155852067220724</v>
      </c>
      <c r="Y12" s="578"/>
      <c r="Z12" s="746"/>
      <c r="AA12" s="597" t="s">
        <v>3688</v>
      </c>
      <c r="AB12" s="598" t="s">
        <v>3687</v>
      </c>
      <c r="AC12" s="599" t="s">
        <v>89</v>
      </c>
      <c r="AD12" s="598" t="s">
        <v>3688</v>
      </c>
      <c r="AE12" s="598" t="s">
        <v>3687</v>
      </c>
      <c r="AF12" s="599" t="s">
        <v>89</v>
      </c>
      <c r="AG12"/>
      <c r="AH12">
        <v>8</v>
      </c>
      <c r="AI12" s="66">
        <f t="shared" si="13"/>
        <v>1937</v>
      </c>
      <c r="AJ12" s="175">
        <f t="shared" si="3"/>
        <v>-0.3503</v>
      </c>
      <c r="AK12" s="144">
        <f t="shared" si="6"/>
        <v>761816.35259781778</v>
      </c>
      <c r="AL12" s="147">
        <f t="shared" si="7"/>
        <v>282438.42218658497</v>
      </c>
      <c r="AM12" s="145">
        <f t="shared" si="8"/>
        <v>1417487.1441818131</v>
      </c>
      <c r="AN12" s="167">
        <f t="shared" si="9"/>
        <v>928322.03214804071</v>
      </c>
      <c r="AO12" s="146">
        <f t="shared" si="10"/>
        <v>-1.2500000000000001E-2</v>
      </c>
      <c r="AP12" s="144">
        <f t="shared" si="11"/>
        <v>1354942.4581750191</v>
      </c>
      <c r="AQ12" s="147">
        <f t="shared" si="12"/>
        <v>848290.51906009496</v>
      </c>
    </row>
    <row r="13" spans="1:43" ht="15.75" customHeight="1">
      <c r="A13" s="222">
        <v>10</v>
      </c>
      <c r="B13" s="684">
        <f>Investment!AQ16</f>
        <v>1937</v>
      </c>
      <c r="C13" s="685">
        <f>Investment!AT16/100</f>
        <v>-0.3503</v>
      </c>
      <c r="D13" s="685">
        <f>Investment!AR16/100</f>
        <v>-0.38590000000000002</v>
      </c>
      <c r="E13" s="574">
        <f t="shared" si="0"/>
        <v>1.0019259200998123</v>
      </c>
      <c r="F13" s="82">
        <f>(E13/E3)^(1/10)-1</f>
        <v>1.924253007183907E-4</v>
      </c>
      <c r="H13" s="137">
        <f>ABS(F13-AC$14)</f>
        <v>7.0099480869930619E-2</v>
      </c>
      <c r="I13" s="137">
        <f>ABS(G13-AC$15)</f>
        <v>9.969592526047244E-2</v>
      </c>
      <c r="J13" s="137">
        <f>ABS(F13-AC$16)</f>
        <v>0.14995267766338338</v>
      </c>
      <c r="O13" s="82">
        <f t="shared" si="1"/>
        <v>7.4999999999999997E-3</v>
      </c>
      <c r="P13">
        <f t="shared" si="2"/>
        <v>1.8292020957724879</v>
      </c>
      <c r="Q13" s="82">
        <f>(P13/P3)^(1/10)-1</f>
        <v>6.2248604034988553E-2</v>
      </c>
      <c r="S13" s="137">
        <f>ABS(Q13-AF$14)</f>
        <v>1.1427471266990452E-2</v>
      </c>
      <c r="T13" s="137">
        <f>ABS(Q13-AF$15)</f>
        <v>2.2602116095856273E-2</v>
      </c>
      <c r="U13" s="137">
        <f>ABS(Q13-AF$16)</f>
        <v>2.6900315274182907E-2</v>
      </c>
      <c r="Y13" s="578"/>
      <c r="Z13" s="587" t="s">
        <v>97</v>
      </c>
      <c r="AA13" s="587">
        <f>AB13-10+1</f>
        <v>1999</v>
      </c>
      <c r="AB13" s="582">
        <f>INDEX(B$4:B$100,MATCH(AC13,F$4:F$100,0))</f>
        <v>2008</v>
      </c>
      <c r="AC13" s="589">
        <f>MIN(F$4:F$100)</f>
        <v>-1.3843251739694917E-2</v>
      </c>
      <c r="AD13" s="586">
        <f>AE13-10+1</f>
        <v>1969</v>
      </c>
      <c r="AE13" s="588">
        <f>INDEX(B$4:B$100,MATCH(AF13,Q$4:Q$100,0))</f>
        <v>1978</v>
      </c>
      <c r="AF13" s="589">
        <f>MIN(Q$4:Q$100)</f>
        <v>5.861944055467383E-2</v>
      </c>
      <c r="AG13"/>
      <c r="AH13">
        <v>9</v>
      </c>
      <c r="AI13" s="66">
        <f t="shared" si="13"/>
        <v>1938</v>
      </c>
      <c r="AJ13" s="175">
        <f t="shared" si="3"/>
        <v>0.31120000000000003</v>
      </c>
      <c r="AK13" s="144">
        <f t="shared" si="6"/>
        <v>998893.60152625863</v>
      </c>
      <c r="AL13" s="147">
        <f t="shared" si="7"/>
        <v>304773.25917105022</v>
      </c>
      <c r="AM13" s="145">
        <f t="shared" si="8"/>
        <v>1480672.5320676416</v>
      </c>
      <c r="AN13" s="167">
        <f t="shared" si="9"/>
        <v>917473.79343048716</v>
      </c>
      <c r="AO13" s="146">
        <f t="shared" si="10"/>
        <v>0.13</v>
      </c>
      <c r="AP13" s="144">
        <f t="shared" si="11"/>
        <v>1531084.9777377716</v>
      </c>
      <c r="AQ13" s="147">
        <f t="shared" si="12"/>
        <v>902068.2865379072</v>
      </c>
    </row>
    <row r="14" spans="1:43" ht="15.75" customHeight="1">
      <c r="A14" s="222">
        <v>11</v>
      </c>
      <c r="B14" s="684">
        <f>Investment!AQ17</f>
        <v>1938</v>
      </c>
      <c r="C14" s="685">
        <f>Investment!AT17/100</f>
        <v>0.31120000000000003</v>
      </c>
      <c r="D14" s="685">
        <f>Investment!AR17/100</f>
        <v>0.2455</v>
      </c>
      <c r="E14" s="574">
        <f t="shared" si="0"/>
        <v>1.3137252664348738</v>
      </c>
      <c r="F14" s="82">
        <f t="shared" ref="F14:F77" si="14">(E14/E4)^(1/10)-1</f>
        <v>-8.8668842237337175E-3</v>
      </c>
      <c r="H14" s="137">
        <f t="shared" ref="H14:H22" si="15">ABS(F14-AC$14)</f>
        <v>7.9158790394382728E-2</v>
      </c>
      <c r="I14" s="137">
        <f t="shared" ref="I14:I23" si="16">ABS(G14-AC$15)</f>
        <v>9.969592526047244E-2</v>
      </c>
      <c r="J14" s="137">
        <f t="shared" ref="J14:J22" si="17">ABS(F14-AC$16)</f>
        <v>0.15901198718783549</v>
      </c>
      <c r="O14" s="82">
        <f t="shared" si="1"/>
        <v>0.15</v>
      </c>
      <c r="P14">
        <f t="shared" si="2"/>
        <v>2.1035824101383609</v>
      </c>
      <c r="Q14" s="82">
        <f t="shared" ref="Q14:Q77" si="18">(P14/P4)^(1/10)-1</f>
        <v>6.2248604034988553E-2</v>
      </c>
      <c r="S14" s="137">
        <f t="shared" ref="S14:S23" si="19">ABS(Q14-AF$14)</f>
        <v>1.1427471266990452E-2</v>
      </c>
      <c r="T14" s="137">
        <f t="shared" ref="T14:T23" si="20">ABS(Q14-AF$15)</f>
        <v>2.2602116095856273E-2</v>
      </c>
      <c r="U14" s="137">
        <f t="shared" ref="U14:U23" si="21">ABS(Q14-AF$16)</f>
        <v>2.6900315274182907E-2</v>
      </c>
      <c r="Y14" s="578"/>
      <c r="Z14" s="590">
        <v>0.25</v>
      </c>
      <c r="AA14" s="587">
        <f t="shared" ref="AA14:AA17" si="22">AB14-10+1</f>
        <v>1962</v>
      </c>
      <c r="AB14" s="582">
        <f>INDEX(B$4:B$100,MATCH(MIN(H$4:H$100),H$4:H$100,0))</f>
        <v>1971</v>
      </c>
      <c r="AC14" s="589">
        <f>QUARTILE(F$4:F$100,1)</f>
        <v>7.029190617064901E-2</v>
      </c>
      <c r="AD14" s="586">
        <f t="shared" ref="AD14:AD17" si="23">AE14-10+1</f>
        <v>1973</v>
      </c>
      <c r="AE14" s="588">
        <f>INDEX(B$4:B$100,MATCH(MIN(S$4:S$100),S$4:S$100,0))</f>
        <v>1982</v>
      </c>
      <c r="AF14" s="589">
        <f>QUARTILE(Q$4:Q$100,1)</f>
        <v>7.3676075301979005E-2</v>
      </c>
      <c r="AG14"/>
      <c r="AH14">
        <v>10</v>
      </c>
      <c r="AI14" s="66">
        <f t="shared" si="13"/>
        <v>1939</v>
      </c>
      <c r="AJ14" s="175">
        <f t="shared" si="3"/>
        <v>-4.0999999999999995E-3</v>
      </c>
      <c r="AK14" s="144">
        <f t="shared" si="6"/>
        <v>994798.137760001</v>
      </c>
      <c r="AL14" s="147">
        <f t="shared" si="7"/>
        <v>253728.6888084489</v>
      </c>
      <c r="AM14" s="145">
        <f t="shared" si="8"/>
        <v>1546674.4486667425</v>
      </c>
      <c r="AN14" s="167">
        <f t="shared" si="9"/>
        <v>906141.98759625107</v>
      </c>
      <c r="AO14" s="146">
        <f t="shared" si="10"/>
        <v>-1.2500000000000001E-2</v>
      </c>
      <c r="AP14" s="144">
        <f t="shared" si="11"/>
        <v>1511946.4155160496</v>
      </c>
      <c r="AQ14" s="147">
        <f t="shared" si="12"/>
        <v>841417.43295618345</v>
      </c>
    </row>
    <row r="15" spans="1:43" ht="15.75" customHeight="1">
      <c r="A15" s="222">
        <v>12</v>
      </c>
      <c r="B15" s="684">
        <f>Investment!AQ18</f>
        <v>1939</v>
      </c>
      <c r="C15" s="685">
        <f>Investment!AT18/100</f>
        <v>-4.0999999999999995E-3</v>
      </c>
      <c r="D15" s="685">
        <f>Investment!AR18/100</f>
        <v>-5.1799999999999999E-2</v>
      </c>
      <c r="E15" s="574">
        <f t="shared" si="0"/>
        <v>1.3083389928424909</v>
      </c>
      <c r="F15" s="82">
        <f t="shared" si="14"/>
        <v>-5.214079225100976E-4</v>
      </c>
      <c r="H15" s="137">
        <f t="shared" si="15"/>
        <v>7.0813314093159108E-2</v>
      </c>
      <c r="I15" s="137">
        <f t="shared" si="16"/>
        <v>9.969592526047244E-2</v>
      </c>
      <c r="J15" s="137">
        <f t="shared" si="17"/>
        <v>0.15066651088661187</v>
      </c>
      <c r="O15" s="82">
        <f t="shared" si="1"/>
        <v>7.4999999999999997E-3</v>
      </c>
      <c r="P15">
        <f t="shared" si="2"/>
        <v>2.1193592782143988</v>
      </c>
      <c r="Q15" s="82">
        <f t="shared" si="18"/>
        <v>6.2248604034988553E-2</v>
      </c>
      <c r="S15" s="137">
        <f t="shared" si="19"/>
        <v>1.1427471266990452E-2</v>
      </c>
      <c r="T15" s="137">
        <f t="shared" si="20"/>
        <v>2.2602116095856273E-2</v>
      </c>
      <c r="U15" s="137">
        <f t="shared" si="21"/>
        <v>2.6900315274182907E-2</v>
      </c>
      <c r="Y15" s="578"/>
      <c r="Z15" s="590">
        <v>0.5</v>
      </c>
      <c r="AA15" s="587">
        <f t="shared" si="22"/>
        <v>2005</v>
      </c>
      <c r="AB15" s="582">
        <f>INDEX(B$4:B$100,MATCH(MIN(I$4:I$100),I$4:I$100,0))</f>
        <v>2014</v>
      </c>
      <c r="AC15" s="589">
        <f>MEDIAN(F$4:F$100)</f>
        <v>9.969592526047244E-2</v>
      </c>
      <c r="AD15" s="586">
        <f t="shared" si="23"/>
        <v>1947</v>
      </c>
      <c r="AE15" s="588">
        <f>INDEX(B$4:B$100,MATCH(MIN(T$4:T$100),T$4:T$100,0))</f>
        <v>1956</v>
      </c>
      <c r="AF15" s="589">
        <f>MEDIAN(Q$4:Q$100)</f>
        <v>8.4850720130844826E-2</v>
      </c>
      <c r="AG15"/>
      <c r="AH15">
        <v>11</v>
      </c>
      <c r="AI15" s="66">
        <f t="shared" si="13"/>
        <v>1940</v>
      </c>
      <c r="AJ15" s="175">
        <f t="shared" si="3"/>
        <v>-9.7799999999999998E-2</v>
      </c>
      <c r="AK15" s="144">
        <f t="shared" si="6"/>
        <v>897506.87988707295</v>
      </c>
      <c r="AL15" s="147">
        <f t="shared" si="7"/>
        <v>183804.02304298259</v>
      </c>
      <c r="AM15" s="145">
        <f t="shared" si="8"/>
        <v>1615618.4425316867</v>
      </c>
      <c r="AN15" s="167">
        <f t="shared" si="9"/>
        <v>894305.05933461094</v>
      </c>
      <c r="AO15" s="146">
        <f t="shared" si="10"/>
        <v>-1.2500000000000001E-2</v>
      </c>
      <c r="AP15" s="144">
        <f t="shared" si="11"/>
        <v>1493047.085322099</v>
      </c>
      <c r="AQ15" s="147">
        <f t="shared" si="12"/>
        <v>781524.71504423115</v>
      </c>
    </row>
    <row r="16" spans="1:43" ht="15.75" customHeight="1">
      <c r="A16" s="222">
        <v>13</v>
      </c>
      <c r="B16" s="684">
        <f>Investment!AQ19</f>
        <v>1940</v>
      </c>
      <c r="C16" s="685">
        <f>Investment!AT19/100</f>
        <v>-9.7799999999999998E-2</v>
      </c>
      <c r="D16" s="685">
        <f>Investment!AR19/100</f>
        <v>-0.15090000000000001</v>
      </c>
      <c r="E16" s="574">
        <f t="shared" si="0"/>
        <v>1.1803834393424952</v>
      </c>
      <c r="F16" s="82">
        <f t="shared" si="14"/>
        <v>1.7981264177425071E-2</v>
      </c>
      <c r="H16" s="137">
        <f t="shared" si="15"/>
        <v>5.2310641993223939E-2</v>
      </c>
      <c r="I16" s="137">
        <f t="shared" si="16"/>
        <v>9.969592526047244E-2</v>
      </c>
      <c r="J16" s="137">
        <f t="shared" si="17"/>
        <v>0.1321638387866767</v>
      </c>
      <c r="O16" s="82">
        <f t="shared" si="1"/>
        <v>7.4999999999999997E-3</v>
      </c>
      <c r="P16">
        <f t="shared" si="2"/>
        <v>2.135254472801007</v>
      </c>
      <c r="Q16" s="82">
        <f t="shared" si="18"/>
        <v>6.2248604034988553E-2</v>
      </c>
      <c r="S16" s="137">
        <f t="shared" si="19"/>
        <v>1.1427471266990452E-2</v>
      </c>
      <c r="T16" s="137">
        <f t="shared" si="20"/>
        <v>2.2602116095856273E-2</v>
      </c>
      <c r="U16" s="137">
        <f t="shared" si="21"/>
        <v>2.6900315274182907E-2</v>
      </c>
      <c r="Y16" s="578"/>
      <c r="Z16" s="590">
        <v>0.75</v>
      </c>
      <c r="AA16" s="587">
        <f t="shared" si="22"/>
        <v>1984</v>
      </c>
      <c r="AB16" s="582">
        <f>INDEX(B$4:B$100,MATCH(MIN(J$4:J$100),J$4:J$100,0))</f>
        <v>1993</v>
      </c>
      <c r="AC16" s="589">
        <f>QUARTILE(F$4:F$100,3)</f>
        <v>0.15014510296410177</v>
      </c>
      <c r="AD16" s="586">
        <f t="shared" si="23"/>
        <v>1975</v>
      </c>
      <c r="AE16" s="588">
        <f>INDEX(B$4:B$100,MATCH(MIN(U$4:U$100),U$4:U$100,0))</f>
        <v>1984</v>
      </c>
      <c r="AF16" s="589">
        <f>QUARTILE(Q$4:Q$100,3)</f>
        <v>8.9148919309171459E-2</v>
      </c>
      <c r="AG16"/>
      <c r="AH16">
        <v>12</v>
      </c>
      <c r="AI16" s="66">
        <f t="shared" si="13"/>
        <v>1941</v>
      </c>
      <c r="AJ16" s="175">
        <f t="shared" si="3"/>
        <v>-0.1159</v>
      </c>
      <c r="AK16" s="144">
        <f t="shared" si="6"/>
        <v>793485.8325081612</v>
      </c>
      <c r="AL16" s="147">
        <f t="shared" si="7"/>
        <v>118296.1367723009</v>
      </c>
      <c r="AM16" s="145">
        <f t="shared" si="8"/>
        <v>1687635.658621351</v>
      </c>
      <c r="AN16" s="167">
        <f t="shared" si="9"/>
        <v>881940.49249320768</v>
      </c>
      <c r="AO16" s="146">
        <f t="shared" si="10"/>
        <v>-1.2500000000000001E-2</v>
      </c>
      <c r="AP16" s="144">
        <f t="shared" si="11"/>
        <v>1474383.996755573</v>
      </c>
      <c r="AQ16" s="147">
        <f t="shared" si="12"/>
        <v>722380.6561061783</v>
      </c>
    </row>
    <row r="17" spans="1:43" ht="15.75" customHeight="1" thickBot="1">
      <c r="A17" s="222">
        <v>14</v>
      </c>
      <c r="B17" s="684">
        <f>Investment!AQ20</f>
        <v>1941</v>
      </c>
      <c r="C17" s="685">
        <f>Investment!AT20/100</f>
        <v>-0.1159</v>
      </c>
      <c r="D17" s="685">
        <f>Investment!AR20/100</f>
        <v>-0.17859999999999998</v>
      </c>
      <c r="E17" s="574">
        <f t="shared" si="0"/>
        <v>1.0435769987226999</v>
      </c>
      <c r="F17" s="82">
        <f t="shared" si="14"/>
        <v>6.4295600676934184E-2</v>
      </c>
      <c r="H17" s="137">
        <f t="shared" si="15"/>
        <v>5.9963054937148264E-3</v>
      </c>
      <c r="I17" s="137">
        <f t="shared" si="16"/>
        <v>9.969592526047244E-2</v>
      </c>
      <c r="J17" s="137">
        <f t="shared" si="17"/>
        <v>8.5849502287167589E-2</v>
      </c>
      <c r="O17" s="82">
        <f t="shared" si="1"/>
        <v>7.4999999999999997E-3</v>
      </c>
      <c r="P17">
        <f t="shared" si="2"/>
        <v>2.1512688813470149</v>
      </c>
      <c r="Q17" s="82">
        <f t="shared" si="18"/>
        <v>6.2248604034988553E-2</v>
      </c>
      <c r="S17" s="137">
        <f t="shared" si="19"/>
        <v>1.1427471266990452E-2</v>
      </c>
      <c r="T17" s="137">
        <f t="shared" si="20"/>
        <v>2.2602116095856273E-2</v>
      </c>
      <c r="U17" s="137">
        <f t="shared" si="21"/>
        <v>2.6900315274182907E-2</v>
      </c>
      <c r="Y17" s="578"/>
      <c r="Z17" s="591" t="s">
        <v>98</v>
      </c>
      <c r="AA17" s="591">
        <f t="shared" si="22"/>
        <v>1949</v>
      </c>
      <c r="AB17" s="592">
        <f>INDEX(B$4:B$100,MATCH(AC17,F$4:F$100,0))</f>
        <v>1958</v>
      </c>
      <c r="AC17" s="595">
        <f>MAX(F$4:F$100)</f>
        <v>0.20061310762187712</v>
      </c>
      <c r="AD17" s="593">
        <f t="shared" si="23"/>
        <v>1980</v>
      </c>
      <c r="AE17" s="594">
        <f>INDEX(B$4:B$100,MATCH(AF17,Q$4:Q$100,0))</f>
        <v>1989</v>
      </c>
      <c r="AF17" s="595">
        <f>MAX(Q$4:Q$100)</f>
        <v>0.1042361258478568</v>
      </c>
      <c r="AG17"/>
      <c r="AH17">
        <v>13</v>
      </c>
      <c r="AI17" s="66">
        <f t="shared" si="13"/>
        <v>1942</v>
      </c>
      <c r="AJ17" s="175">
        <f t="shared" si="3"/>
        <v>0.2034</v>
      </c>
      <c r="AK17" s="144">
        <f t="shared" si="6"/>
        <v>954880.85084032116</v>
      </c>
      <c r="AL17" s="147">
        <f t="shared" si="7"/>
        <v>82187.57099178691</v>
      </c>
      <c r="AM17" s="145">
        <f t="shared" si="8"/>
        <v>1762863.0877642769</v>
      </c>
      <c r="AN17" s="167">
        <f t="shared" si="9"/>
        <v>869024.76724791981</v>
      </c>
      <c r="AO17" s="146">
        <f t="shared" si="10"/>
        <v>0.13</v>
      </c>
      <c r="AP17" s="144">
        <f t="shared" si="11"/>
        <v>1666053.9163337974</v>
      </c>
      <c r="AQ17" s="147">
        <f t="shared" si="12"/>
        <v>759790.14139998145</v>
      </c>
    </row>
    <row r="18" spans="1:43" ht="15.75" customHeight="1">
      <c r="A18" s="222">
        <v>15</v>
      </c>
      <c r="B18" s="684">
        <f>Investment!AQ21</f>
        <v>1942</v>
      </c>
      <c r="C18" s="685">
        <f>Investment!AT21/100</f>
        <v>0.2034</v>
      </c>
      <c r="D18" s="685">
        <f>Investment!AR21/100</f>
        <v>0.12429999999999999</v>
      </c>
      <c r="E18" s="574">
        <f t="shared" si="0"/>
        <v>1.255840560262897</v>
      </c>
      <c r="F18" s="82">
        <f t="shared" si="14"/>
        <v>9.3488623229013745E-2</v>
      </c>
      <c r="H18" s="137">
        <f t="shared" si="15"/>
        <v>2.3196717058364735E-2</v>
      </c>
      <c r="I18" s="137">
        <f t="shared" si="16"/>
        <v>9.969592526047244E-2</v>
      </c>
      <c r="J18" s="137">
        <f t="shared" si="17"/>
        <v>5.6656479735088028E-2</v>
      </c>
      <c r="O18" s="82">
        <f t="shared" si="1"/>
        <v>0.12429999999999999</v>
      </c>
      <c r="P18">
        <f t="shared" si="2"/>
        <v>2.4186716032984492</v>
      </c>
      <c r="Q18" s="82">
        <f t="shared" si="18"/>
        <v>7.396439776945174E-2</v>
      </c>
      <c r="S18" s="137">
        <f t="shared" si="19"/>
        <v>2.8832246747273471E-4</v>
      </c>
      <c r="T18" s="137">
        <f t="shared" si="20"/>
        <v>1.0886322361393086E-2</v>
      </c>
      <c r="U18" s="137">
        <f t="shared" si="21"/>
        <v>1.518452153971972E-2</v>
      </c>
      <c r="Y18" s="576"/>
      <c r="AG18"/>
      <c r="AH18">
        <v>14</v>
      </c>
      <c r="AI18" s="66">
        <f t="shared" si="13"/>
        <v>1943</v>
      </c>
      <c r="AJ18" s="175">
        <f t="shared" si="3"/>
        <v>0.25900000000000001</v>
      </c>
      <c r="AK18" s="144">
        <f t="shared" si="6"/>
        <v>1202194.9912079643</v>
      </c>
      <c r="AL18" s="147">
        <f t="shared" si="7"/>
        <v>40524.151878659715</v>
      </c>
      <c r="AM18" s="145">
        <f t="shared" si="8"/>
        <v>1841443.8272420159</v>
      </c>
      <c r="AN18" s="167">
        <f t="shared" si="9"/>
        <v>855533.31536355801</v>
      </c>
      <c r="AO18" s="146">
        <f t="shared" si="10"/>
        <v>0.13</v>
      </c>
      <c r="AP18" s="144">
        <f t="shared" si="11"/>
        <v>1882640.925457191</v>
      </c>
      <c r="AQ18" s="147">
        <f t="shared" si="12"/>
        <v>802062.859781979</v>
      </c>
    </row>
    <row r="19" spans="1:43" ht="15.75" customHeight="1" thickBot="1">
      <c r="A19" s="222">
        <v>16</v>
      </c>
      <c r="B19" s="684">
        <f>Investment!AQ22</f>
        <v>1943</v>
      </c>
      <c r="C19" s="685">
        <f>Investment!AT22/100</f>
        <v>0.25900000000000001</v>
      </c>
      <c r="D19" s="685">
        <f>Investment!AR22/100</f>
        <v>0.19450000000000001</v>
      </c>
      <c r="E19" s="574">
        <f t="shared" si="0"/>
        <v>1.5811032653709873</v>
      </c>
      <c r="F19" s="82">
        <f t="shared" si="14"/>
        <v>7.168608077309746E-2</v>
      </c>
      <c r="H19" s="137">
        <f t="shared" si="15"/>
        <v>1.3941746024484503E-3</v>
      </c>
      <c r="I19" s="137">
        <f t="shared" si="16"/>
        <v>9.969592526047244E-2</v>
      </c>
      <c r="J19" s="137">
        <f t="shared" si="17"/>
        <v>7.8459022191004313E-2</v>
      </c>
      <c r="O19" s="82">
        <f t="shared" si="1"/>
        <v>0.15</v>
      </c>
      <c r="P19">
        <f t="shared" si="2"/>
        <v>2.7814723437932165</v>
      </c>
      <c r="Q19" s="82">
        <f t="shared" si="18"/>
        <v>7.396439776945174E-2</v>
      </c>
      <c r="S19" s="137">
        <f t="shared" si="19"/>
        <v>2.8832246747273471E-4</v>
      </c>
      <c r="T19" s="137">
        <f t="shared" si="20"/>
        <v>1.0886322361393086E-2</v>
      </c>
      <c r="U19" s="137">
        <f t="shared" si="21"/>
        <v>1.518452153971972E-2</v>
      </c>
      <c r="Y19" s="576"/>
      <c r="AG19"/>
      <c r="AH19">
        <v>15</v>
      </c>
      <c r="AI19" s="66">
        <f t="shared" si="13"/>
        <v>1944</v>
      </c>
      <c r="AJ19" s="175">
        <f t="shared" si="3"/>
        <v>0.19750000000000001</v>
      </c>
      <c r="AK19" s="144">
        <f t="shared" si="6"/>
        <v>1439628.5019715372</v>
      </c>
      <c r="AL19" s="147">
        <f t="shared" si="7"/>
        <v>-11347.328125304992</v>
      </c>
      <c r="AM19" s="145">
        <f t="shared" si="8"/>
        <v>1923527.3529881425</v>
      </c>
      <c r="AN19" s="167">
        <f t="shared" si="9"/>
        <v>841440.47346027754</v>
      </c>
      <c r="AO19" s="146">
        <f t="shared" si="10"/>
        <v>0.13</v>
      </c>
      <c r="AP19" s="144">
        <f t="shared" si="11"/>
        <v>2127384.2457666257</v>
      </c>
      <c r="AQ19" s="147">
        <f t="shared" si="12"/>
        <v>849831.03155363619</v>
      </c>
    </row>
    <row r="20" spans="1:43" ht="15.75" customHeight="1" thickBot="1">
      <c r="A20" s="222">
        <v>17</v>
      </c>
      <c r="B20" s="684">
        <f>Investment!AQ23</f>
        <v>1944</v>
      </c>
      <c r="C20" s="685">
        <f>Investment!AT23/100</f>
        <v>0.19750000000000001</v>
      </c>
      <c r="D20" s="685">
        <f>Investment!AR23/100</f>
        <v>0.13800000000000001</v>
      </c>
      <c r="E20" s="574">
        <f t="shared" si="0"/>
        <v>1.8933711602817573</v>
      </c>
      <c r="F20" s="82">
        <f t="shared" si="14"/>
        <v>9.2760712885721741E-2</v>
      </c>
      <c r="H20" s="137">
        <f t="shared" si="15"/>
        <v>2.2468806715072731E-2</v>
      </c>
      <c r="I20" s="137">
        <f t="shared" si="16"/>
        <v>9.969592526047244E-2</v>
      </c>
      <c r="J20" s="137">
        <f t="shared" si="17"/>
        <v>5.7384390078380032E-2</v>
      </c>
      <c r="O20" s="82">
        <f t="shared" si="1"/>
        <v>0.13800000000000001</v>
      </c>
      <c r="P20">
        <f t="shared" si="2"/>
        <v>3.1653155272366802</v>
      </c>
      <c r="Q20" s="82">
        <f t="shared" si="18"/>
        <v>8.7125306031735184E-2</v>
      </c>
      <c r="S20" s="137">
        <f t="shared" si="19"/>
        <v>1.3449230729756179E-2</v>
      </c>
      <c r="T20" s="137">
        <f t="shared" si="20"/>
        <v>2.2745859008903579E-3</v>
      </c>
      <c r="U20" s="137">
        <f t="shared" si="21"/>
        <v>2.0236132774362758E-3</v>
      </c>
      <c r="Y20" s="576"/>
      <c r="Z20" s="601" t="s">
        <v>99</v>
      </c>
      <c r="AA20" s="597" t="s">
        <v>3688</v>
      </c>
      <c r="AB20" s="598" t="s">
        <v>3687</v>
      </c>
      <c r="AC20" s="604" t="s">
        <v>83</v>
      </c>
      <c r="AD20" s="603" t="s">
        <v>3691</v>
      </c>
      <c r="AE20" s="582"/>
      <c r="AF20" s="584"/>
      <c r="AG20"/>
      <c r="AH20">
        <v>16</v>
      </c>
      <c r="AI20" s="66">
        <f t="shared" si="13"/>
        <v>1945</v>
      </c>
      <c r="AJ20" s="175">
        <f t="shared" si="3"/>
        <v>0.3644</v>
      </c>
      <c r="AK20" s="144">
        <f t="shared" si="6"/>
        <v>1964229.1280899656</v>
      </c>
      <c r="AL20" s="147">
        <f t="shared" si="7"/>
        <v>-83702.294494166141</v>
      </c>
      <c r="AM20" s="145">
        <f t="shared" si="8"/>
        <v>2009269.8039207119</v>
      </c>
      <c r="AN20" s="167">
        <f t="shared" si="9"/>
        <v>826719.43419681117</v>
      </c>
      <c r="AO20" s="146">
        <f t="shared" si="10"/>
        <v>0.13</v>
      </c>
      <c r="AP20" s="144">
        <f t="shared" si="11"/>
        <v>2403944.1977162869</v>
      </c>
      <c r="AQ20" s="147">
        <f t="shared" si="12"/>
        <v>903809.06565560878</v>
      </c>
    </row>
    <row r="21" spans="1:43" ht="15.75" customHeight="1">
      <c r="A21" s="222">
        <v>18</v>
      </c>
      <c r="B21" s="684">
        <f>Investment!AQ24</f>
        <v>1945</v>
      </c>
      <c r="C21" s="685">
        <f>Investment!AT24/100</f>
        <v>0.3644</v>
      </c>
      <c r="D21" s="685">
        <f>Investment!AR24/100</f>
        <v>0.30719999999999997</v>
      </c>
      <c r="E21" s="574">
        <f t="shared" si="0"/>
        <v>2.5833156110884299</v>
      </c>
      <c r="F21" s="82">
        <f t="shared" si="14"/>
        <v>8.4151603234926098E-2</v>
      </c>
      <c r="H21" s="137">
        <f t="shared" si="15"/>
        <v>1.3859697064277088E-2</v>
      </c>
      <c r="I21" s="137">
        <f t="shared" si="16"/>
        <v>9.969592526047244E-2</v>
      </c>
      <c r="J21" s="137">
        <f t="shared" si="17"/>
        <v>6.5993499729175675E-2</v>
      </c>
      <c r="O21" s="82">
        <f t="shared" si="1"/>
        <v>0.15</v>
      </c>
      <c r="P21">
        <f t="shared" si="2"/>
        <v>3.6401128563221818</v>
      </c>
      <c r="Q21" s="82">
        <f t="shared" si="18"/>
        <v>8.7125306031735184E-2</v>
      </c>
      <c r="S21" s="137">
        <f t="shared" si="19"/>
        <v>1.3449230729756179E-2</v>
      </c>
      <c r="T21" s="137">
        <f t="shared" si="20"/>
        <v>2.2745859008903579E-3</v>
      </c>
      <c r="U21" s="137">
        <f t="shared" si="21"/>
        <v>2.0236132774362758E-3</v>
      </c>
      <c r="Y21" s="576"/>
      <c r="Z21" s="587" t="s">
        <v>97</v>
      </c>
      <c r="AA21" s="587">
        <f>AB21-20+1</f>
        <v>1929</v>
      </c>
      <c r="AB21" s="582">
        <f>INDEX(B$4:B$100,MATCH(AC21,G$4:G$100,0))</f>
        <v>1948</v>
      </c>
      <c r="AC21" s="605">
        <f>MIN(G$4:G$100)</f>
        <v>3.107659564318066E-2</v>
      </c>
      <c r="AD21" s="600">
        <f>INDEX(R$4:R$100,MATCH(AB21,B$4:B$100,0))</f>
        <v>6.0492517527657608E-2</v>
      </c>
      <c r="AE21" s="588"/>
      <c r="AF21" s="585"/>
      <c r="AG21"/>
      <c r="AH21">
        <v>17</v>
      </c>
      <c r="AI21" s="66">
        <f t="shared" si="13"/>
        <v>1946</v>
      </c>
      <c r="AJ21" s="175">
        <f t="shared" si="3"/>
        <v>-8.0700000000000008E-2</v>
      </c>
      <c r="AK21" s="144">
        <f t="shared" si="6"/>
        <v>1805715.8374531053</v>
      </c>
      <c r="AL21" s="147">
        <f t="shared" si="7"/>
        <v>-122912.51932848695</v>
      </c>
      <c r="AM21" s="145">
        <f t="shared" si="8"/>
        <v>2098834.2789490153</v>
      </c>
      <c r="AN21" s="167">
        <f t="shared" si="9"/>
        <v>811342.19527766365</v>
      </c>
      <c r="AO21" s="146">
        <f t="shared" si="10"/>
        <v>-1.2500000000000001E-2</v>
      </c>
      <c r="AP21" s="144">
        <f t="shared" si="11"/>
        <v>2373894.8952448335</v>
      </c>
      <c r="AQ21" s="147">
        <f t="shared" si="12"/>
        <v>843136.45233491366</v>
      </c>
    </row>
    <row r="22" spans="1:43" ht="15.75" customHeight="1">
      <c r="A22" s="222">
        <v>19</v>
      </c>
      <c r="B22" s="684">
        <f>Investment!AQ25</f>
        <v>1946</v>
      </c>
      <c r="C22" s="685">
        <f>Investment!AT25/100</f>
        <v>-8.0700000000000008E-2</v>
      </c>
      <c r="D22" s="685">
        <f>Investment!AR25/100</f>
        <v>-0.11869999999999999</v>
      </c>
      <c r="E22" s="574">
        <f t="shared" si="0"/>
        <v>2.3748420412735936</v>
      </c>
      <c r="F22" s="82">
        <f t="shared" si="14"/>
        <v>4.4121883960695829E-2</v>
      </c>
      <c r="H22" s="137">
        <f t="shared" si="15"/>
        <v>2.6170022209953181E-2</v>
      </c>
      <c r="I22" s="137">
        <f t="shared" si="16"/>
        <v>9.969592526047244E-2</v>
      </c>
      <c r="J22" s="137">
        <f t="shared" si="17"/>
        <v>0.10602321900340594</v>
      </c>
      <c r="O22" s="82">
        <f t="shared" si="1"/>
        <v>7.4999999999999997E-3</v>
      </c>
      <c r="P22">
        <f t="shared" si="2"/>
        <v>3.6674137027445983</v>
      </c>
      <c r="Q22" s="82">
        <f t="shared" si="18"/>
        <v>7.2838442003221981E-2</v>
      </c>
      <c r="S22" s="137">
        <f t="shared" si="19"/>
        <v>8.3763329875702341E-4</v>
      </c>
      <c r="T22" s="137">
        <f t="shared" si="20"/>
        <v>1.2012278127622844E-2</v>
      </c>
      <c r="U22" s="137">
        <f t="shared" si="21"/>
        <v>1.6310477305949478E-2</v>
      </c>
      <c r="Y22" s="576"/>
      <c r="Z22" s="590">
        <v>0.25</v>
      </c>
      <c r="AA22" s="587">
        <f t="shared" ref="AA22:AA25" si="24">AB22-20+1</f>
        <v>1996</v>
      </c>
      <c r="AB22" s="582">
        <f>INDEX(B$4:B$100,MATCH(MIN(K$4:K$100),K$4:K$100,0))</f>
        <v>2015</v>
      </c>
      <c r="AC22" s="605">
        <f>QUARTILE(G$4:G$100,1)</f>
        <v>8.1904985671131025E-2</v>
      </c>
      <c r="AD22" s="600">
        <f t="shared" ref="AD22:AD25" si="25">INDEX(R$4:R$100,MATCH(AB22,B$4:B$100,0))</f>
        <v>8.6279257119846298E-2</v>
      </c>
      <c r="AE22" s="588"/>
      <c r="AF22" s="585"/>
      <c r="AG22"/>
      <c r="AH22">
        <v>18</v>
      </c>
      <c r="AI22" s="66">
        <f t="shared" si="13"/>
        <v>1947</v>
      </c>
      <c r="AJ22" s="175">
        <f t="shared" si="3"/>
        <v>5.7099999999999998E-2</v>
      </c>
      <c r="AK22" s="144">
        <f t="shared" si="6"/>
        <v>1908822.2117716775</v>
      </c>
      <c r="AL22" s="147">
        <f t="shared" si="7"/>
        <v>-182785.82418214352</v>
      </c>
      <c r="AM22" s="145">
        <f t="shared" si="8"/>
        <v>2192391.1472196011</v>
      </c>
      <c r="AN22" s="167">
        <f t="shared" si="9"/>
        <v>795279.50618726946</v>
      </c>
      <c r="AO22" s="146">
        <f t="shared" si="10"/>
        <v>3.7099999999999994E-2</v>
      </c>
      <c r="AP22" s="144">
        <f t="shared" si="11"/>
        <v>2461966.3958584168</v>
      </c>
      <c r="AQ22" s="147">
        <f t="shared" si="12"/>
        <v>822561.81471653888</v>
      </c>
    </row>
    <row r="23" spans="1:43" ht="15.75" customHeight="1">
      <c r="A23" s="687">
        <v>20</v>
      </c>
      <c r="B23" s="684">
        <f>Investment!AQ26</f>
        <v>1947</v>
      </c>
      <c r="C23" s="685">
        <f>Investment!AT26/100</f>
        <v>5.7099999999999998E-2</v>
      </c>
      <c r="D23" s="685">
        <f>Investment!AR26/100</f>
        <v>0</v>
      </c>
      <c r="E23" s="574">
        <f t="shared" si="0"/>
        <v>2.5104455218303157</v>
      </c>
      <c r="F23" s="82">
        <f t="shared" si="14"/>
        <v>9.620434446160786E-2</v>
      </c>
      <c r="G23" s="138">
        <f>(E23/E3)^(1/20)-1</f>
        <v>4.7098506307902133E-2</v>
      </c>
      <c r="H23" s="137">
        <f>ABS(F23-AC$14)</f>
        <v>2.591243829095885E-2</v>
      </c>
      <c r="I23" s="137">
        <f t="shared" si="16"/>
        <v>5.2597418952570307E-2</v>
      </c>
      <c r="J23" s="137">
        <f>ABS(F23-AC$16)</f>
        <v>5.3940758502493913E-2</v>
      </c>
      <c r="K23" s="138">
        <f>ABS(G23-AC$6)</f>
        <v>3.4806479363228893E-2</v>
      </c>
      <c r="L23" s="138">
        <f>ABS(H23-AC$6)</f>
        <v>5.5992547380172175E-2</v>
      </c>
      <c r="M23" s="185">
        <f>ABS(G23-AC$8)</f>
        <v>8.7598321792408951E-2</v>
      </c>
      <c r="N23" s="185"/>
      <c r="O23" s="82">
        <f t="shared" si="1"/>
        <v>7.4999999999999997E-3</v>
      </c>
      <c r="P23">
        <f t="shared" si="2"/>
        <v>3.694919305515183</v>
      </c>
      <c r="Q23" s="82">
        <f t="shared" si="18"/>
        <v>7.2838442003221981E-2</v>
      </c>
      <c r="R23" s="138">
        <f>(P23/P3)^(1/20)-1</f>
        <v>6.7530391779547783E-2</v>
      </c>
      <c r="S23" s="137">
        <f t="shared" si="19"/>
        <v>8.3763329875702341E-4</v>
      </c>
      <c r="T23" s="137">
        <f t="shared" si="20"/>
        <v>1.2012278127622844E-2</v>
      </c>
      <c r="U23" s="137">
        <f t="shared" si="21"/>
        <v>1.6310477305949478E-2</v>
      </c>
      <c r="V23" s="138">
        <f>ABS(R23-AF$6)</f>
        <v>1.1499677734385871E-2</v>
      </c>
      <c r="W23" s="138">
        <f>ABS(R23-AF$7)</f>
        <v>1.6110116777007466E-2</v>
      </c>
      <c r="X23" s="138">
        <f>ABS(R23-AF$8)</f>
        <v>1.9544780078716073E-2</v>
      </c>
      <c r="Y23" s="577"/>
      <c r="Z23" s="590">
        <v>0.5</v>
      </c>
      <c r="AA23" s="587">
        <f t="shared" si="24"/>
        <v>1968</v>
      </c>
      <c r="AB23" s="582">
        <f>INDEX(B$4:B$100,MATCH(MIN(L$4:L$100),L$4:L$100,0))</f>
        <v>1987</v>
      </c>
      <c r="AC23" s="605">
        <f>MEDIAN(G$4:G$100)</f>
        <v>0.1144087236359852</v>
      </c>
      <c r="AD23" s="600">
        <f t="shared" si="25"/>
        <v>7.7584512180473242E-2</v>
      </c>
      <c r="AE23" s="588"/>
      <c r="AF23" s="585"/>
      <c r="AG23"/>
      <c r="AH23">
        <v>19</v>
      </c>
      <c r="AI23" s="66">
        <f t="shared" si="13"/>
        <v>1948</v>
      </c>
      <c r="AJ23" s="175">
        <f t="shared" si="3"/>
        <v>5.5E-2</v>
      </c>
      <c r="AK23" s="144">
        <f t="shared" si="6"/>
        <v>2013807.4334191196</v>
      </c>
      <c r="AL23" s="147">
        <f t="shared" si="7"/>
        <v>-245589.0445121614</v>
      </c>
      <c r="AM23" s="145">
        <f t="shared" si="8"/>
        <v>2290118.3721917095</v>
      </c>
      <c r="AN23" s="167">
        <f t="shared" si="9"/>
        <v>778500.81254979211</v>
      </c>
      <c r="AO23" s="146">
        <f t="shared" si="10"/>
        <v>3.5000000000000003E-2</v>
      </c>
      <c r="AP23" s="144">
        <f t="shared" si="11"/>
        <v>2548135.2197134611</v>
      </c>
      <c r="AQ23" s="147">
        <f t="shared" si="12"/>
        <v>799601.47823161772</v>
      </c>
    </row>
    <row r="24" spans="1:43" ht="15.75" customHeight="1" thickBot="1">
      <c r="A24" s="687">
        <v>21</v>
      </c>
      <c r="B24" s="684">
        <f>Investment!AQ27</f>
        <v>1948</v>
      </c>
      <c r="C24" s="685">
        <f>Investment!AT27/100</f>
        <v>5.5E-2</v>
      </c>
      <c r="D24" s="685">
        <f>Investment!AR27/100</f>
        <v>-6.5000000000000006E-3</v>
      </c>
      <c r="E24" s="574">
        <f t="shared" si="0"/>
        <v>2.6485200255309826</v>
      </c>
      <c r="F24" s="82">
        <f t="shared" si="14"/>
        <v>7.2629830606037782E-2</v>
      </c>
      <c r="G24" s="138">
        <f t="shared" ref="G24:G87" si="26">(E24/E4)^(1/20)-1</f>
        <v>3.107659564318066E-2</v>
      </c>
      <c r="H24" s="137">
        <f t="shared" ref="H24:H87" si="27">ABS(F24-AC$14)</f>
        <v>2.3379244353887718E-3</v>
      </c>
      <c r="I24" s="137">
        <f t="shared" ref="I24:I87" si="28">ABS(G24-AC$15)</f>
        <v>6.861932961729178E-2</v>
      </c>
      <c r="J24" s="137">
        <f t="shared" ref="J24:J87" si="29">ABS(F24-AC$16)</f>
        <v>7.7515272358063991E-2</v>
      </c>
      <c r="K24" s="138">
        <f t="shared" ref="K24:K87" si="30">ABS(G24-AC$6)</f>
        <v>5.0828390027950365E-2</v>
      </c>
      <c r="L24" s="138">
        <f t="shared" ref="L24:L87" si="31">ABS(H24-AC$6)</f>
        <v>7.9567061235742254E-2</v>
      </c>
      <c r="M24" s="185">
        <f t="shared" ref="M24:M87" si="32">ABS(G24-AC$8)</f>
        <v>0.10362023245713042</v>
      </c>
      <c r="N24" s="185"/>
      <c r="O24" s="82">
        <f t="shared" si="1"/>
        <v>7.4999999999999997E-3</v>
      </c>
      <c r="P24">
        <f t="shared" si="2"/>
        <v>3.7226312003065472</v>
      </c>
      <c r="Q24" s="82">
        <f t="shared" si="18"/>
        <v>5.8739334144707556E-2</v>
      </c>
      <c r="R24" s="138">
        <f t="shared" ref="R24:R87" si="33">(P24/P4)^(1/20)-1</f>
        <v>6.0492517527657608E-2</v>
      </c>
      <c r="S24" s="137">
        <f t="shared" ref="S24:S87" si="34">ABS(Q24-AF$14)</f>
        <v>1.4936741157271449E-2</v>
      </c>
      <c r="T24" s="137">
        <f t="shared" ref="T24:T87" si="35">ABS(Q24-AF$15)</f>
        <v>2.611138598613727E-2</v>
      </c>
      <c r="U24" s="137">
        <f t="shared" ref="U24:U87" si="36">ABS(Q24-AF$16)</f>
        <v>3.0409585164463904E-2</v>
      </c>
      <c r="V24" s="138">
        <f t="shared" ref="V24:V87" si="37">ABS(R24-AF$6)</f>
        <v>1.8537551986276046E-2</v>
      </c>
      <c r="W24" s="138">
        <f t="shared" ref="W24:W87" si="38">ABS(R24-AF$7)</f>
        <v>2.3147991028897641E-2</v>
      </c>
      <c r="X24" s="138">
        <f t="shared" ref="X24:X87" si="39">ABS(R24-AF$8)</f>
        <v>2.6582654330606248E-2</v>
      </c>
      <c r="Y24" s="577"/>
      <c r="Z24" s="590">
        <v>0.75</v>
      </c>
      <c r="AA24" s="587">
        <f t="shared" si="24"/>
        <v>1939</v>
      </c>
      <c r="AB24" s="582">
        <f>INDEX(B$4:B$100,MATCH(MIN(M$4:M$100),M$4:M$100,0))</f>
        <v>1958</v>
      </c>
      <c r="AC24" s="605">
        <f>QUARTILE(G$4:G$100,3)</f>
        <v>0.13469682810031108</v>
      </c>
      <c r="AD24" s="600">
        <f t="shared" si="25"/>
        <v>7.9030069513933654E-2</v>
      </c>
      <c r="AE24" s="588"/>
      <c r="AF24" s="585"/>
      <c r="AG24"/>
      <c r="AH24">
        <v>20</v>
      </c>
      <c r="AI24" s="66">
        <f t="shared" si="13"/>
        <v>1949</v>
      </c>
      <c r="AJ24" s="175">
        <f t="shared" si="3"/>
        <v>0.18789999999999998</v>
      </c>
      <c r="AK24" s="151">
        <f t="shared" si="6"/>
        <v>2392201.8501585722</v>
      </c>
      <c r="AL24" s="176">
        <f t="shared" si="7"/>
        <v>-351130.22597599652</v>
      </c>
      <c r="AM24" s="152">
        <f t="shared" si="8"/>
        <v>2392201.8501585722</v>
      </c>
      <c r="AN24" s="167">
        <f t="shared" si="9"/>
        <v>760974.19800872635</v>
      </c>
      <c r="AO24" s="146">
        <f t="shared" si="10"/>
        <v>0.13</v>
      </c>
      <c r="AP24" s="144">
        <f t="shared" si="11"/>
        <v>2879392.7982762107</v>
      </c>
      <c r="AQ24" s="153">
        <f t="shared" si="12"/>
        <v>847049.6704017279</v>
      </c>
    </row>
    <row r="25" spans="1:43" ht="15.75" customHeight="1" thickBot="1">
      <c r="A25" s="687">
        <v>22</v>
      </c>
      <c r="B25" s="684">
        <f>Investment!AQ28</f>
        <v>1949</v>
      </c>
      <c r="C25" s="685">
        <f>Investment!AT28/100</f>
        <v>0.18789999999999998</v>
      </c>
      <c r="D25" s="685">
        <f>Investment!AR28/100</f>
        <v>0.10460000000000001</v>
      </c>
      <c r="E25" s="574">
        <f t="shared" si="0"/>
        <v>3.1461769383282543</v>
      </c>
      <c r="F25" s="82">
        <f t="shared" si="14"/>
        <v>9.170747970271087E-2</v>
      </c>
      <c r="G25" s="138">
        <f t="shared" si="26"/>
        <v>4.4575633821567928E-2</v>
      </c>
      <c r="H25" s="137">
        <f t="shared" si="27"/>
        <v>2.141557353206186E-2</v>
      </c>
      <c r="I25" s="137">
        <f t="shared" si="28"/>
        <v>5.5120291438904512E-2</v>
      </c>
      <c r="J25" s="137">
        <f t="shared" si="29"/>
        <v>5.8437623261390903E-2</v>
      </c>
      <c r="K25" s="138">
        <f t="shared" si="30"/>
        <v>3.7329351849563097E-2</v>
      </c>
      <c r="L25" s="138">
        <f t="shared" si="31"/>
        <v>6.0489412139069165E-2</v>
      </c>
      <c r="M25" s="185">
        <f t="shared" si="32"/>
        <v>9.0121194278743155E-2</v>
      </c>
      <c r="N25" s="185"/>
      <c r="O25" s="82">
        <f t="shared" si="1"/>
        <v>0.10460000000000001</v>
      </c>
      <c r="P25">
        <f t="shared" si="2"/>
        <v>4.1120184238586122</v>
      </c>
      <c r="Q25" s="82">
        <f t="shared" si="18"/>
        <v>6.8525883137753096E-2</v>
      </c>
      <c r="R25" s="138">
        <f t="shared" si="33"/>
        <v>6.5382620347418374E-2</v>
      </c>
      <c r="S25" s="137">
        <f t="shared" si="34"/>
        <v>5.1501921642259085E-3</v>
      </c>
      <c r="T25" s="137">
        <f t="shared" si="35"/>
        <v>1.6324836993091729E-2</v>
      </c>
      <c r="U25" s="137">
        <f t="shared" si="36"/>
        <v>2.0623036171418363E-2</v>
      </c>
      <c r="V25" s="138">
        <f t="shared" si="37"/>
        <v>1.364744916651528E-2</v>
      </c>
      <c r="W25" s="138">
        <f t="shared" si="38"/>
        <v>1.8257888209136874E-2</v>
      </c>
      <c r="X25" s="138">
        <f t="shared" si="39"/>
        <v>2.1692551510845481E-2</v>
      </c>
      <c r="Y25" s="577"/>
      <c r="Z25" s="591" t="s">
        <v>98</v>
      </c>
      <c r="AA25" s="591">
        <f t="shared" si="24"/>
        <v>1980</v>
      </c>
      <c r="AB25" s="592">
        <f>INDEX(B$4:B$100,MATCH(AC25,G$4:G$100,0))</f>
        <v>1999</v>
      </c>
      <c r="AC25" s="606">
        <f>MAX(G$4:G$100)</f>
        <v>0.17878842730871547</v>
      </c>
      <c r="AD25" s="595">
        <f t="shared" si="25"/>
        <v>0.10279222680457156</v>
      </c>
      <c r="AE25" s="588"/>
      <c r="AF25" s="581"/>
      <c r="AG25"/>
      <c r="AH25" s="79"/>
      <c r="AI25" s="177" t="s">
        <v>86</v>
      </c>
      <c r="AJ25" s="178"/>
      <c r="AK25" s="179">
        <f>(AK24/AI3)^(1/20)-1</f>
        <v>4.4575633821567928E-2</v>
      </c>
      <c r="AL25" s="180"/>
      <c r="AM25" s="181"/>
      <c r="AN25" s="182"/>
      <c r="AO25" s="183"/>
      <c r="AP25" s="184">
        <f>(AP24/AI3)^(1/20)-1</f>
        <v>5.4302037224384758E-2</v>
      </c>
      <c r="AQ25" s="180"/>
    </row>
    <row r="26" spans="1:43" ht="15.75" customHeight="1" thickBot="1">
      <c r="A26" s="687">
        <v>23</v>
      </c>
      <c r="B26" s="684">
        <f>Investment!AQ29</f>
        <v>1950</v>
      </c>
      <c r="C26" s="685">
        <f>Investment!AT29/100</f>
        <v>0.31709999999999999</v>
      </c>
      <c r="D26" s="685">
        <f>Investment!AR29/100</f>
        <v>0.21679999999999999</v>
      </c>
      <c r="E26" s="574">
        <f t="shared" si="0"/>
        <v>4.1438296454721435</v>
      </c>
      <c r="F26" s="82">
        <f t="shared" si="14"/>
        <v>0.13380372250109085</v>
      </c>
      <c r="G26" s="138">
        <f t="shared" si="26"/>
        <v>7.4332791438821877E-2</v>
      </c>
      <c r="H26" s="137">
        <f t="shared" si="27"/>
        <v>6.3511816330441839E-2</v>
      </c>
      <c r="I26" s="137">
        <f t="shared" si="28"/>
        <v>2.5363133821650563E-2</v>
      </c>
      <c r="J26" s="137">
        <f t="shared" si="29"/>
        <v>1.6341380463010924E-2</v>
      </c>
      <c r="K26" s="138">
        <f t="shared" si="30"/>
        <v>7.5721942323091485E-3</v>
      </c>
      <c r="L26" s="138">
        <f t="shared" si="31"/>
        <v>1.8393169340689186E-2</v>
      </c>
      <c r="M26" s="185">
        <f t="shared" si="32"/>
        <v>6.0364036661489207E-2</v>
      </c>
      <c r="N26" s="185"/>
      <c r="O26" s="82">
        <f t="shared" si="1"/>
        <v>0.15</v>
      </c>
      <c r="P26">
        <f t="shared" si="2"/>
        <v>4.7288211874374033</v>
      </c>
      <c r="Q26" s="82">
        <f t="shared" si="18"/>
        <v>8.2755317324350042E-2</v>
      </c>
      <c r="R26" s="138">
        <f t="shared" si="33"/>
        <v>7.2452947377763532E-2</v>
      </c>
      <c r="S26" s="137">
        <f t="shared" si="34"/>
        <v>9.0792420223710368E-3</v>
      </c>
      <c r="T26" s="137">
        <f t="shared" si="35"/>
        <v>2.0954028064947838E-3</v>
      </c>
      <c r="U26" s="137">
        <f t="shared" si="36"/>
        <v>6.3936019848214176E-3</v>
      </c>
      <c r="V26" s="138">
        <f t="shared" si="37"/>
        <v>6.5771221361701215E-3</v>
      </c>
      <c r="W26" s="138">
        <f t="shared" si="38"/>
        <v>1.1187561178791716E-2</v>
      </c>
      <c r="X26" s="138">
        <f t="shared" si="39"/>
        <v>1.4622224480500323E-2</v>
      </c>
      <c r="Y26" s="602"/>
      <c r="Z26" s="582"/>
      <c r="AA26" s="579"/>
      <c r="AB26" s="580"/>
      <c r="AC26" s="579"/>
      <c r="AD26" s="579"/>
      <c r="AE26" s="580"/>
      <c r="AF26" s="580"/>
      <c r="AG26"/>
    </row>
    <row r="27" spans="1:43" ht="15.75" customHeight="1" thickBot="1">
      <c r="A27" s="222">
        <v>24</v>
      </c>
      <c r="B27" s="684">
        <f>Investment!AQ30</f>
        <v>1951</v>
      </c>
      <c r="C27" s="685">
        <f>Investment!AT30/100</f>
        <v>0.2402</v>
      </c>
      <c r="D27" s="685">
        <f>Investment!AR30/100</f>
        <v>0.16350000000000001</v>
      </c>
      <c r="E27" s="574">
        <f t="shared" si="0"/>
        <v>5.139177526314552</v>
      </c>
      <c r="F27" s="82">
        <f t="shared" si="14"/>
        <v>0.17283498480650605</v>
      </c>
      <c r="G27" s="138">
        <f t="shared" si="26"/>
        <v>0.11724800946323621</v>
      </c>
      <c r="H27" s="137">
        <f t="shared" si="27"/>
        <v>0.10254307863585704</v>
      </c>
      <c r="I27" s="137">
        <f t="shared" si="28"/>
        <v>1.7552084202763774E-2</v>
      </c>
      <c r="J27" s="137">
        <f t="shared" si="29"/>
        <v>2.268988184240428E-2</v>
      </c>
      <c r="K27" s="138">
        <f t="shared" si="30"/>
        <v>3.5343023792105188E-2</v>
      </c>
      <c r="L27" s="138">
        <f t="shared" si="31"/>
        <v>2.0638092964726018E-2</v>
      </c>
      <c r="M27" s="185">
        <f t="shared" si="32"/>
        <v>1.744881863707487E-2</v>
      </c>
      <c r="O27" s="82">
        <f t="shared" si="1"/>
        <v>0.15</v>
      </c>
      <c r="P27">
        <f t="shared" si="2"/>
        <v>5.4381443655530131</v>
      </c>
      <c r="Q27" s="82">
        <f t="shared" si="18"/>
        <v>9.7174243221410661E-2</v>
      </c>
      <c r="R27" s="138">
        <f t="shared" si="33"/>
        <v>7.9570196071144128E-2</v>
      </c>
      <c r="S27" s="137">
        <f t="shared" si="34"/>
        <v>2.3498167919431656E-2</v>
      </c>
      <c r="T27" s="137">
        <f t="shared" si="35"/>
        <v>1.2323523090565836E-2</v>
      </c>
      <c r="U27" s="137">
        <f t="shared" si="36"/>
        <v>8.0253239122392017E-3</v>
      </c>
      <c r="V27" s="138">
        <f t="shared" si="37"/>
        <v>5.4012655721047409E-4</v>
      </c>
      <c r="W27" s="138">
        <f t="shared" si="38"/>
        <v>4.0703124854111206E-3</v>
      </c>
      <c r="X27" s="138">
        <f t="shared" si="39"/>
        <v>7.5049757871197276E-3</v>
      </c>
      <c r="Y27" s="142"/>
      <c r="Z27" s="601" t="s">
        <v>100</v>
      </c>
      <c r="AA27" s="597" t="s">
        <v>3688</v>
      </c>
      <c r="AB27" s="598" t="s">
        <v>3687</v>
      </c>
      <c r="AC27" s="604" t="s">
        <v>83</v>
      </c>
      <c r="AD27" s="603" t="s">
        <v>3691</v>
      </c>
      <c r="AE27" s="582"/>
      <c r="AF27" s="584"/>
      <c r="AG27"/>
    </row>
    <row r="28" spans="1:43" ht="15.75" customHeight="1">
      <c r="A28" s="222">
        <v>25</v>
      </c>
      <c r="B28" s="684">
        <f>Investment!AQ31</f>
        <v>1952</v>
      </c>
      <c r="C28" s="685">
        <f>Investment!AT31/100</f>
        <v>0.1837</v>
      </c>
      <c r="D28" s="685">
        <f>Investment!AR31/100</f>
        <v>0.11779999999999999</v>
      </c>
      <c r="E28" s="574">
        <f t="shared" si="0"/>
        <v>6.0832444378985349</v>
      </c>
      <c r="F28" s="82">
        <f t="shared" si="14"/>
        <v>0.1709007285409665</v>
      </c>
      <c r="G28" s="138">
        <f t="shared" si="26"/>
        <v>0.13153286544850773</v>
      </c>
      <c r="H28" s="137">
        <f t="shared" si="27"/>
        <v>0.10060882237031749</v>
      </c>
      <c r="I28" s="137">
        <f t="shared" si="28"/>
        <v>3.183694018803529E-2</v>
      </c>
      <c r="J28" s="137">
        <f t="shared" si="29"/>
        <v>2.0755625576864722E-2</v>
      </c>
      <c r="K28" s="138">
        <f t="shared" si="30"/>
        <v>4.9627879777376704E-2</v>
      </c>
      <c r="L28" s="138">
        <f t="shared" si="31"/>
        <v>1.870383669918646E-2</v>
      </c>
      <c r="M28" s="185">
        <f t="shared" si="32"/>
        <v>3.1639626518033537E-3</v>
      </c>
      <c r="O28" s="82">
        <f t="shared" si="1"/>
        <v>0.11779999999999999</v>
      </c>
      <c r="P28">
        <f t="shared" si="2"/>
        <v>6.0787577718151571</v>
      </c>
      <c r="Q28" s="82">
        <f t="shared" si="18"/>
        <v>9.653826931838938E-2</v>
      </c>
      <c r="R28" s="138">
        <f t="shared" si="33"/>
        <v>8.5192638216681216E-2</v>
      </c>
      <c r="S28" s="137">
        <f t="shared" si="34"/>
        <v>2.2862194016410375E-2</v>
      </c>
      <c r="T28" s="137">
        <f t="shared" si="35"/>
        <v>1.1687549187544555E-2</v>
      </c>
      <c r="U28" s="137">
        <f t="shared" si="36"/>
        <v>7.389350009217921E-3</v>
      </c>
      <c r="V28" s="138">
        <f t="shared" si="37"/>
        <v>6.1625687027475617E-3</v>
      </c>
      <c r="W28" s="138">
        <f t="shared" si="38"/>
        <v>1.5521296601259671E-3</v>
      </c>
      <c r="X28" s="138">
        <f t="shared" si="39"/>
        <v>1.8825336415826399E-3</v>
      </c>
      <c r="Z28" s="587" t="s">
        <v>97</v>
      </c>
      <c r="AA28" s="587">
        <f>AB28-10+1</f>
        <v>1999</v>
      </c>
      <c r="AB28" s="582">
        <f>INDEX(B$4:B$100,MATCH(AC28,F$4:F$100,0))</f>
        <v>2008</v>
      </c>
      <c r="AC28" s="605">
        <f>MIN(F$4:F$100)</f>
        <v>-1.3843251739694917E-2</v>
      </c>
      <c r="AD28" s="600">
        <f>INDEX(Q$4:Q$100,MATCH(AB21,B$4:B$100,0))</f>
        <v>5.8739334144707556E-2</v>
      </c>
      <c r="AE28" s="588"/>
      <c r="AF28" s="585"/>
      <c r="AG28"/>
      <c r="AI28"/>
      <c r="AJ28"/>
      <c r="AK28"/>
      <c r="AL28"/>
      <c r="AM28"/>
      <c r="AN28"/>
      <c r="AO28"/>
      <c r="AP28"/>
      <c r="AQ28"/>
    </row>
    <row r="29" spans="1:43" ht="15.75" customHeight="1">
      <c r="A29" s="222">
        <v>26</v>
      </c>
      <c r="B29" s="684">
        <f>Investment!AQ32</f>
        <v>1953</v>
      </c>
      <c r="C29" s="685">
        <f>Investment!AT32/100</f>
        <v>-9.8999999999999991E-3</v>
      </c>
      <c r="D29" s="685">
        <f>Investment!AR32/100</f>
        <v>-6.6199999999999995E-2</v>
      </c>
      <c r="E29" s="574">
        <f t="shared" si="0"/>
        <v>6.023020317963339</v>
      </c>
      <c r="F29" s="82">
        <f t="shared" si="14"/>
        <v>0.14310311773763673</v>
      </c>
      <c r="G29" s="138">
        <f t="shared" si="26"/>
        <v>0.10681872958843464</v>
      </c>
      <c r="H29" s="137">
        <f t="shared" si="27"/>
        <v>7.2811211566987721E-2</v>
      </c>
      <c r="I29" s="137">
        <f t="shared" si="28"/>
        <v>7.1228043279621955E-3</v>
      </c>
      <c r="J29" s="137">
        <f t="shared" si="29"/>
        <v>7.0419852264650418E-3</v>
      </c>
      <c r="K29" s="138">
        <f t="shared" si="30"/>
        <v>2.491374391730361E-2</v>
      </c>
      <c r="L29" s="138">
        <f t="shared" si="31"/>
        <v>9.093774104143304E-3</v>
      </c>
      <c r="M29" s="185">
        <f t="shared" si="32"/>
        <v>2.7878098511876448E-2</v>
      </c>
      <c r="O29" s="82">
        <f t="shared" si="1"/>
        <v>7.4999999999999997E-3</v>
      </c>
      <c r="P29">
        <f t="shared" si="2"/>
        <v>6.124348455103771</v>
      </c>
      <c r="Q29" s="82">
        <f t="shared" si="18"/>
        <v>8.212770131036673E-2</v>
      </c>
      <c r="R29" s="138">
        <f t="shared" si="33"/>
        <v>7.8038322624677914E-2</v>
      </c>
      <c r="S29" s="137">
        <f t="shared" si="34"/>
        <v>8.4516260083877248E-3</v>
      </c>
      <c r="T29" s="137">
        <f t="shared" si="35"/>
        <v>2.7230188204780958E-3</v>
      </c>
      <c r="U29" s="137">
        <f t="shared" si="36"/>
        <v>7.0212179988047296E-3</v>
      </c>
      <c r="V29" s="138">
        <f t="shared" si="37"/>
        <v>9.9174688925574017E-4</v>
      </c>
      <c r="W29" s="138">
        <f t="shared" si="38"/>
        <v>5.6021859318773348E-3</v>
      </c>
      <c r="X29" s="138">
        <f t="shared" si="39"/>
        <v>9.0368492335859418E-3</v>
      </c>
      <c r="Z29" s="590">
        <v>0.25</v>
      </c>
      <c r="AA29" s="587">
        <f t="shared" ref="AA29:AA32" si="40">AB29-10+1</f>
        <v>1962</v>
      </c>
      <c r="AB29" s="582">
        <f>INDEX(B$4:B$100,MATCH(MIN(H$4:H$100),H$4:H$100,0))</f>
        <v>1971</v>
      </c>
      <c r="AC29" s="605">
        <f>QUARTILE(F$4:F$100,1)</f>
        <v>7.029190617064901E-2</v>
      </c>
      <c r="AD29" s="600">
        <f t="shared" ref="AD29:AD32" si="41">INDEX(Q$4:Q$100,MATCH(AB22,B$4:B$100,0))</f>
        <v>8.5270876755750402E-2</v>
      </c>
      <c r="AE29" s="588"/>
      <c r="AF29" s="585"/>
      <c r="AG29"/>
      <c r="AI29"/>
      <c r="AJ29"/>
      <c r="AK29"/>
      <c r="AL29"/>
      <c r="AM29"/>
      <c r="AN29"/>
      <c r="AO29"/>
      <c r="AP29"/>
      <c r="AQ29"/>
    </row>
    <row r="30" spans="1:43" ht="15.75" customHeight="1">
      <c r="A30" s="222">
        <v>27</v>
      </c>
      <c r="B30" s="684">
        <f>Investment!AQ33</f>
        <v>1954</v>
      </c>
      <c r="C30" s="685">
        <f>Investment!AT33/100</f>
        <v>0.5262</v>
      </c>
      <c r="D30" s="685">
        <f>Investment!AR33/100</f>
        <v>0.45020000000000004</v>
      </c>
      <c r="E30" s="574">
        <f t="shared" si="0"/>
        <v>9.1923336092756482</v>
      </c>
      <c r="F30" s="82">
        <f t="shared" si="14"/>
        <v>0.17116747250195097</v>
      </c>
      <c r="G30" s="138">
        <f t="shared" si="26"/>
        <v>0.13128502251192242</v>
      </c>
      <c r="H30" s="137">
        <f t="shared" si="27"/>
        <v>0.10087556633130196</v>
      </c>
      <c r="I30" s="137">
        <f t="shared" si="28"/>
        <v>3.1589097251449982E-2</v>
      </c>
      <c r="J30" s="137">
        <f t="shared" si="29"/>
        <v>2.1022369537849195E-2</v>
      </c>
      <c r="K30" s="138">
        <f t="shared" si="30"/>
        <v>4.9380036840791397E-2</v>
      </c>
      <c r="L30" s="138">
        <f t="shared" si="31"/>
        <v>1.8970580660170933E-2</v>
      </c>
      <c r="M30" s="185">
        <f t="shared" si="32"/>
        <v>3.4118055883886611E-3</v>
      </c>
      <c r="O30" s="82">
        <f t="shared" si="1"/>
        <v>0.15</v>
      </c>
      <c r="P30">
        <f t="shared" si="2"/>
        <v>7.0430007233693361</v>
      </c>
      <c r="Q30" s="82">
        <f t="shared" si="18"/>
        <v>8.326340625659534E-2</v>
      </c>
      <c r="R30" s="138">
        <f t="shared" si="33"/>
        <v>8.5192638216681216E-2</v>
      </c>
      <c r="S30" s="137">
        <f t="shared" si="34"/>
        <v>9.5873309546163354E-3</v>
      </c>
      <c r="T30" s="137">
        <f t="shared" si="35"/>
        <v>1.5873138742494852E-3</v>
      </c>
      <c r="U30" s="137">
        <f t="shared" si="36"/>
        <v>5.885513052576119E-3</v>
      </c>
      <c r="V30" s="138">
        <f t="shared" si="37"/>
        <v>6.1625687027475617E-3</v>
      </c>
      <c r="W30" s="138">
        <f t="shared" si="38"/>
        <v>1.5521296601259671E-3</v>
      </c>
      <c r="X30" s="138">
        <f t="shared" si="39"/>
        <v>1.8825336415826399E-3</v>
      </c>
      <c r="Z30" s="590">
        <v>0.5</v>
      </c>
      <c r="AA30" s="587">
        <f t="shared" si="40"/>
        <v>2005</v>
      </c>
      <c r="AB30" s="582">
        <f>INDEX(B$4:B$100,MATCH(MIN(I$4:I$100),I$4:I$100,0))</f>
        <v>2014</v>
      </c>
      <c r="AC30" s="605">
        <f>MEDIAN(F$4:F$100)</f>
        <v>9.969592526047244E-2</v>
      </c>
      <c r="AD30" s="600">
        <f t="shared" si="41"/>
        <v>8.9971916244184325E-2</v>
      </c>
      <c r="AE30" s="588"/>
      <c r="AF30" s="585"/>
      <c r="AG30"/>
      <c r="AI30"/>
      <c r="AJ30"/>
      <c r="AK30"/>
      <c r="AL30"/>
      <c r="AM30"/>
      <c r="AN30"/>
      <c r="AO30"/>
      <c r="AP30"/>
      <c r="AQ30"/>
    </row>
    <row r="31" spans="1:43" ht="15.75" customHeight="1">
      <c r="A31" s="222">
        <v>28</v>
      </c>
      <c r="B31" s="684">
        <f>Investment!AQ34</f>
        <v>1955</v>
      </c>
      <c r="C31" s="685">
        <f>Investment!AT34/100</f>
        <v>0.31559999999999999</v>
      </c>
      <c r="D31" s="685">
        <f>Investment!AR34/100</f>
        <v>0.26400000000000001</v>
      </c>
      <c r="E31" s="574">
        <f t="shared" si="0"/>
        <v>12.093434096363042</v>
      </c>
      <c r="F31" s="82">
        <f t="shared" si="14"/>
        <v>0.16690961248440139</v>
      </c>
      <c r="G31" s="138">
        <f t="shared" si="26"/>
        <v>0.12476972185652735</v>
      </c>
      <c r="H31" s="137">
        <f t="shared" si="27"/>
        <v>9.6617706313752383E-2</v>
      </c>
      <c r="I31" s="137">
        <f t="shared" si="28"/>
        <v>2.5073796596054909E-2</v>
      </c>
      <c r="J31" s="137">
        <f t="shared" si="29"/>
        <v>1.676450952029962E-2</v>
      </c>
      <c r="K31" s="138">
        <f t="shared" si="30"/>
        <v>4.2864736185396324E-2</v>
      </c>
      <c r="L31" s="138">
        <f t="shared" si="31"/>
        <v>1.4712720642621357E-2</v>
      </c>
      <c r="M31" s="185">
        <f t="shared" si="32"/>
        <v>9.9271062437837343E-3</v>
      </c>
      <c r="O31" s="82">
        <f t="shared" si="1"/>
        <v>0.15</v>
      </c>
      <c r="P31">
        <f t="shared" si="2"/>
        <v>8.0994508318747354</v>
      </c>
      <c r="Q31" s="82">
        <f t="shared" si="18"/>
        <v>8.326340625659534E-2</v>
      </c>
      <c r="R31" s="138">
        <f t="shared" si="33"/>
        <v>8.5192638216681216E-2</v>
      </c>
      <c r="S31" s="137">
        <f t="shared" si="34"/>
        <v>9.5873309546163354E-3</v>
      </c>
      <c r="T31" s="137">
        <f t="shared" si="35"/>
        <v>1.5873138742494852E-3</v>
      </c>
      <c r="U31" s="137">
        <f t="shared" si="36"/>
        <v>5.885513052576119E-3</v>
      </c>
      <c r="V31" s="138">
        <f t="shared" si="37"/>
        <v>6.1625687027475617E-3</v>
      </c>
      <c r="W31" s="138">
        <f t="shared" si="38"/>
        <v>1.5521296601259671E-3</v>
      </c>
      <c r="X31" s="138">
        <f t="shared" si="39"/>
        <v>1.8825336415826399E-3</v>
      </c>
      <c r="Z31" s="590">
        <v>0.75</v>
      </c>
      <c r="AA31" s="587">
        <f t="shared" si="40"/>
        <v>1984</v>
      </c>
      <c r="AB31" s="582">
        <f>INDEX(B$4:B$100,MATCH(MIN(J$4:J$100),J$4:J$100,0))</f>
        <v>1993</v>
      </c>
      <c r="AC31" s="605">
        <f>QUARTILE(F$4:F$100,3)</f>
        <v>0.15014510296410177</v>
      </c>
      <c r="AD31" s="600">
        <f t="shared" si="41"/>
        <v>9.9709676750432408E-2</v>
      </c>
      <c r="AE31" s="588"/>
      <c r="AF31" s="585"/>
      <c r="AG31"/>
      <c r="AI31"/>
      <c r="AJ31"/>
      <c r="AK31"/>
      <c r="AL31"/>
      <c r="AM31"/>
      <c r="AN31"/>
      <c r="AO31"/>
      <c r="AP31"/>
      <c r="AQ31"/>
    </row>
    <row r="32" spans="1:43" ht="15.75" customHeight="1" thickBot="1">
      <c r="A32" s="222">
        <v>29</v>
      </c>
      <c r="B32" s="684">
        <f>Investment!AQ35</f>
        <v>1956</v>
      </c>
      <c r="C32" s="685">
        <f>Investment!AT35/100</f>
        <v>6.5599999999999992E-2</v>
      </c>
      <c r="D32" s="685">
        <f>Investment!AR35/100</f>
        <v>2.6200000000000001E-2</v>
      </c>
      <c r="E32" s="574">
        <f t="shared" si="0"/>
        <v>12.886763373084456</v>
      </c>
      <c r="F32" s="82">
        <f t="shared" si="14"/>
        <v>0.18427050367889408</v>
      </c>
      <c r="G32" s="138">
        <f t="shared" si="26"/>
        <v>0.11199044484217091</v>
      </c>
      <c r="H32" s="137">
        <f t="shared" si="27"/>
        <v>0.11397859750824507</v>
      </c>
      <c r="I32" s="137">
        <f t="shared" si="28"/>
        <v>1.2294519581698471E-2</v>
      </c>
      <c r="J32" s="137">
        <f t="shared" si="29"/>
        <v>3.4125400714792309E-2</v>
      </c>
      <c r="K32" s="138">
        <f t="shared" si="30"/>
        <v>3.0085459171039886E-2</v>
      </c>
      <c r="L32" s="138">
        <f t="shared" si="31"/>
        <v>3.2073611837114047E-2</v>
      </c>
      <c r="M32" s="185">
        <f t="shared" si="32"/>
        <v>2.2706383258140173E-2</v>
      </c>
      <c r="O32" s="82">
        <f t="shared" si="1"/>
        <v>2.6200000000000001E-2</v>
      </c>
      <c r="P32">
        <f t="shared" si="2"/>
        <v>8.3116564436698539</v>
      </c>
      <c r="Q32" s="82">
        <f t="shared" si="18"/>
        <v>8.5257430504851239E-2</v>
      </c>
      <c r="R32" s="138">
        <f t="shared" si="33"/>
        <v>7.9030069513933654E-2</v>
      </c>
      <c r="S32" s="137">
        <f t="shared" si="34"/>
        <v>1.1581355202872234E-2</v>
      </c>
      <c r="T32" s="137">
        <f t="shared" si="35"/>
        <v>4.0671037400641374E-4</v>
      </c>
      <c r="U32" s="137">
        <f t="shared" si="36"/>
        <v>3.89148880432022E-3</v>
      </c>
      <c r="V32" s="138">
        <f t="shared" si="37"/>
        <v>0</v>
      </c>
      <c r="W32" s="138">
        <f t="shared" si="38"/>
        <v>4.6104390426215947E-3</v>
      </c>
      <c r="X32" s="138">
        <f t="shared" si="39"/>
        <v>8.0451023443302017E-3</v>
      </c>
      <c r="Z32" s="591" t="s">
        <v>98</v>
      </c>
      <c r="AA32" s="591">
        <f t="shared" si="40"/>
        <v>1949</v>
      </c>
      <c r="AB32" s="592">
        <f>INDEX(B$4:B$100,MATCH(AC32,F$4:F$100,0))</f>
        <v>1958</v>
      </c>
      <c r="AC32" s="606">
        <f>MAX(F$4:F$100)</f>
        <v>0.20061310762187712</v>
      </c>
      <c r="AD32" s="595">
        <f t="shared" si="41"/>
        <v>0.10135021580352532</v>
      </c>
      <c r="AE32" s="588"/>
      <c r="AF32" s="581"/>
      <c r="AG32"/>
      <c r="AI32"/>
      <c r="AJ32"/>
      <c r="AK32"/>
      <c r="AL32"/>
      <c r="AM32"/>
      <c r="AN32"/>
      <c r="AO32"/>
      <c r="AP32"/>
      <c r="AQ32"/>
    </row>
    <row r="33" spans="1:43" ht="15.75" customHeight="1">
      <c r="A33" s="222">
        <v>30</v>
      </c>
      <c r="B33" s="684">
        <f>Investment!AQ36</f>
        <v>1957</v>
      </c>
      <c r="C33" s="685">
        <f>Investment!AT36/100</f>
        <v>-0.10779999999999999</v>
      </c>
      <c r="D33" s="685">
        <f>Investment!AR36/100</f>
        <v>-0.1431</v>
      </c>
      <c r="E33" s="574">
        <f t="shared" si="0"/>
        <v>11.497570281465952</v>
      </c>
      <c r="F33" s="82">
        <f t="shared" si="14"/>
        <v>0.16435530747720506</v>
      </c>
      <c r="G33" s="138">
        <f t="shared" si="26"/>
        <v>0.12976605832953036</v>
      </c>
      <c r="H33" s="137">
        <f t="shared" si="27"/>
        <v>9.4063401306556049E-2</v>
      </c>
      <c r="I33" s="137">
        <f t="shared" si="28"/>
        <v>3.0070133069057925E-2</v>
      </c>
      <c r="J33" s="137">
        <f t="shared" si="29"/>
        <v>1.4210204513103286E-2</v>
      </c>
      <c r="K33" s="138">
        <f t="shared" si="30"/>
        <v>4.786107265839934E-2</v>
      </c>
      <c r="L33" s="138">
        <f t="shared" si="31"/>
        <v>1.2158415635425024E-2</v>
      </c>
      <c r="M33" s="185">
        <f t="shared" si="32"/>
        <v>4.9307697707807185E-3</v>
      </c>
      <c r="O33" s="82">
        <f t="shared" si="1"/>
        <v>7.4999999999999997E-3</v>
      </c>
      <c r="P33">
        <f t="shared" si="2"/>
        <v>8.3739938669973775</v>
      </c>
      <c r="Q33" s="82">
        <f t="shared" si="18"/>
        <v>8.5257430504851239E-2</v>
      </c>
      <c r="R33" s="138">
        <f t="shared" si="33"/>
        <v>7.9030069513933654E-2</v>
      </c>
      <c r="S33" s="137">
        <f t="shared" si="34"/>
        <v>1.1581355202872234E-2</v>
      </c>
      <c r="T33" s="137">
        <f t="shared" si="35"/>
        <v>4.0671037400641374E-4</v>
      </c>
      <c r="U33" s="137">
        <f t="shared" si="36"/>
        <v>3.89148880432022E-3</v>
      </c>
      <c r="V33" s="138">
        <f t="shared" si="37"/>
        <v>0</v>
      </c>
      <c r="W33" s="138">
        <f t="shared" si="38"/>
        <v>4.6104390426215947E-3</v>
      </c>
      <c r="X33" s="138">
        <f t="shared" si="39"/>
        <v>8.0451023443302017E-3</v>
      </c>
      <c r="Z33" s="583"/>
      <c r="AA33" s="78"/>
      <c r="AB33" s="87"/>
      <c r="AC33" s="83"/>
      <c r="AD33" s="77"/>
      <c r="AE33" s="144"/>
      <c r="AF33" s="144"/>
      <c r="AG33"/>
      <c r="AI33"/>
      <c r="AJ33"/>
      <c r="AK33"/>
      <c r="AL33"/>
      <c r="AM33"/>
      <c r="AN33"/>
      <c r="AO33"/>
      <c r="AP33"/>
      <c r="AQ33"/>
    </row>
    <row r="34" spans="1:43" ht="15.75" customHeight="1" thickBot="1">
      <c r="A34" s="222">
        <v>31</v>
      </c>
      <c r="B34" s="684">
        <f>Investment!AQ37</f>
        <v>1958</v>
      </c>
      <c r="C34" s="685">
        <f>Investment!AT37/100</f>
        <v>0.43359999999999999</v>
      </c>
      <c r="D34" s="685">
        <f>Investment!AR37/100</f>
        <v>0.38060000000000005</v>
      </c>
      <c r="E34" s="574">
        <f t="shared" si="0"/>
        <v>16.482916755509589</v>
      </c>
      <c r="F34" s="82">
        <f t="shared" si="14"/>
        <v>0.20061310762187712</v>
      </c>
      <c r="G34" s="138">
        <f t="shared" si="26"/>
        <v>0.1348186790196233</v>
      </c>
      <c r="H34" s="137">
        <f t="shared" si="27"/>
        <v>0.13032120145122811</v>
      </c>
      <c r="I34" s="137">
        <f t="shared" si="28"/>
        <v>3.512275375915086E-2</v>
      </c>
      <c r="J34" s="137">
        <f t="shared" si="29"/>
        <v>5.0468004657775345E-2</v>
      </c>
      <c r="K34" s="138">
        <f t="shared" si="30"/>
        <v>5.2913693348492274E-2</v>
      </c>
      <c r="L34" s="138">
        <f t="shared" si="31"/>
        <v>4.8416215780097083E-2</v>
      </c>
      <c r="M34" s="185">
        <f t="shared" si="32"/>
        <v>1.2185091931221637E-4</v>
      </c>
      <c r="O34" s="82">
        <f t="shared" si="1"/>
        <v>0.15</v>
      </c>
      <c r="P34">
        <f t="shared" si="2"/>
        <v>9.6300929470469825</v>
      </c>
      <c r="Q34" s="82">
        <f t="shared" si="18"/>
        <v>9.9709676750432408E-2</v>
      </c>
      <c r="R34" s="138">
        <f t="shared" si="33"/>
        <v>7.9030069513933654E-2</v>
      </c>
      <c r="S34" s="137">
        <f t="shared" si="34"/>
        <v>2.6033601448453403E-2</v>
      </c>
      <c r="T34" s="137">
        <f t="shared" si="35"/>
        <v>1.4858956619587582E-2</v>
      </c>
      <c r="U34" s="137">
        <f t="shared" si="36"/>
        <v>1.0560757441260948E-2</v>
      </c>
      <c r="V34" s="138">
        <f t="shared" si="37"/>
        <v>0</v>
      </c>
      <c r="W34" s="138">
        <f t="shared" si="38"/>
        <v>4.6104390426215947E-3</v>
      </c>
      <c r="X34" s="138">
        <f t="shared" si="39"/>
        <v>8.0451023443302017E-3</v>
      </c>
      <c r="Z34" s="583"/>
      <c r="AA34" s="78"/>
      <c r="AB34" s="87"/>
      <c r="AC34" s="83" t="str">
        <f>CONCATENATE("IUL Cap/Floor:",O3,"/",O2)</f>
        <v>IUL Cap/Floor:0.15/0.0075</v>
      </c>
      <c r="AD34" s="77"/>
      <c r="AE34" s="144"/>
      <c r="AF34" s="144"/>
      <c r="AG34"/>
      <c r="AI34"/>
      <c r="AJ34"/>
      <c r="AK34"/>
      <c r="AL34"/>
      <c r="AM34"/>
      <c r="AN34"/>
      <c r="AO34"/>
      <c r="AP34"/>
      <c r="AQ34"/>
    </row>
    <row r="35" spans="1:43" ht="15.75" customHeight="1" thickBot="1">
      <c r="A35" s="222">
        <v>32</v>
      </c>
      <c r="B35" s="684">
        <f>Investment!AQ38</f>
        <v>1959</v>
      </c>
      <c r="C35" s="685">
        <f>Investment!AT38/100</f>
        <v>0.11960000000000001</v>
      </c>
      <c r="D35" s="685">
        <f>Investment!AR38/100</f>
        <v>8.48E-2</v>
      </c>
      <c r="E35" s="574">
        <f t="shared" si="0"/>
        <v>18.454273599468536</v>
      </c>
      <c r="F35" s="82">
        <f t="shared" si="14"/>
        <v>0.19352461759170825</v>
      </c>
      <c r="G35" s="138">
        <f t="shared" si="26"/>
        <v>0.14148138497050655</v>
      </c>
      <c r="H35" s="137">
        <f t="shared" si="27"/>
        <v>0.12323271142105924</v>
      </c>
      <c r="I35" s="137">
        <f t="shared" si="28"/>
        <v>4.1785459710034112E-2</v>
      </c>
      <c r="J35" s="137">
        <f t="shared" si="29"/>
        <v>4.3379514627606475E-2</v>
      </c>
      <c r="K35" s="138">
        <f t="shared" si="30"/>
        <v>5.9576399299375526E-2</v>
      </c>
      <c r="L35" s="138">
        <f t="shared" si="31"/>
        <v>4.1327725749928212E-2</v>
      </c>
      <c r="M35" s="185">
        <f t="shared" si="32"/>
        <v>6.7845568701954684E-3</v>
      </c>
      <c r="O35" s="82">
        <f t="shared" si="1"/>
        <v>8.48E-2</v>
      </c>
      <c r="P35">
        <f t="shared" si="2"/>
        <v>10.446724828956567</v>
      </c>
      <c r="Q35" s="82">
        <f t="shared" si="18"/>
        <v>9.772235928176598E-2</v>
      </c>
      <c r="R35" s="138">
        <f t="shared" si="33"/>
        <v>8.3025739948781929E-2</v>
      </c>
      <c r="S35" s="137">
        <f t="shared" si="34"/>
        <v>2.4046283979786975E-2</v>
      </c>
      <c r="T35" s="137">
        <f t="shared" si="35"/>
        <v>1.2871639150921155E-2</v>
      </c>
      <c r="U35" s="137">
        <f t="shared" si="36"/>
        <v>8.573439972594521E-3</v>
      </c>
      <c r="V35" s="138">
        <f t="shared" si="37"/>
        <v>3.9956704348482752E-3</v>
      </c>
      <c r="W35" s="138">
        <f t="shared" si="38"/>
        <v>6.1476860777331943E-4</v>
      </c>
      <c r="X35" s="138">
        <f t="shared" si="39"/>
        <v>4.0494319094819264E-3</v>
      </c>
      <c r="Z35" s="583"/>
      <c r="AA35" s="78"/>
      <c r="AB35" s="607"/>
      <c r="AC35" s="608" t="s">
        <v>3692</v>
      </c>
      <c r="AD35" s="609" t="s">
        <v>3611</v>
      </c>
      <c r="AE35" s="77"/>
      <c r="AF35" s="77"/>
      <c r="AG35"/>
      <c r="AI35"/>
      <c r="AJ35"/>
      <c r="AK35"/>
      <c r="AL35"/>
      <c r="AM35"/>
      <c r="AN35"/>
      <c r="AO35"/>
      <c r="AP35"/>
      <c r="AQ35"/>
    </row>
    <row r="36" spans="1:43" ht="15.75" customHeight="1">
      <c r="A36" s="222">
        <v>33</v>
      </c>
      <c r="B36" s="684">
        <f>Investment!AQ39</f>
        <v>1960</v>
      </c>
      <c r="C36" s="685">
        <f>Investment!AT39/100</f>
        <v>4.6999999999999993E-3</v>
      </c>
      <c r="D36" s="685">
        <f>Investment!AR39/100</f>
        <v>-2.9700000000000001E-2</v>
      </c>
      <c r="E36" s="574">
        <f t="shared" si="0"/>
        <v>18.541008685386036</v>
      </c>
      <c r="F36" s="82">
        <f t="shared" si="14"/>
        <v>0.16164424831011814</v>
      </c>
      <c r="G36" s="138">
        <f t="shared" si="26"/>
        <v>0.14763956578535287</v>
      </c>
      <c r="H36" s="137">
        <f t="shared" si="27"/>
        <v>9.1352342139469134E-2</v>
      </c>
      <c r="I36" s="137">
        <f t="shared" si="28"/>
        <v>4.7943640524880426E-2</v>
      </c>
      <c r="J36" s="137">
        <f t="shared" si="29"/>
        <v>1.1499145346016371E-2</v>
      </c>
      <c r="K36" s="138">
        <f t="shared" si="30"/>
        <v>6.5734580114221841E-2</v>
      </c>
      <c r="L36" s="138">
        <f t="shared" si="31"/>
        <v>9.4473564683381084E-3</v>
      </c>
      <c r="M36" s="185">
        <f t="shared" si="32"/>
        <v>1.2942737685041783E-2</v>
      </c>
      <c r="O36" s="82">
        <f t="shared" si="1"/>
        <v>7.4999999999999997E-3</v>
      </c>
      <c r="P36">
        <f t="shared" si="2"/>
        <v>10.525075265173742</v>
      </c>
      <c r="Q36" s="82">
        <f t="shared" si="18"/>
        <v>8.3296230112384517E-2</v>
      </c>
      <c r="R36" s="138">
        <f t="shared" si="33"/>
        <v>8.3025739948781929E-2</v>
      </c>
      <c r="S36" s="137">
        <f t="shared" si="34"/>
        <v>9.6201548104055123E-3</v>
      </c>
      <c r="T36" s="137">
        <f t="shared" si="35"/>
        <v>1.5544900184603083E-3</v>
      </c>
      <c r="U36" s="137">
        <f t="shared" si="36"/>
        <v>5.8526891967869421E-3</v>
      </c>
      <c r="V36" s="138">
        <f t="shared" si="37"/>
        <v>3.9956704348482752E-3</v>
      </c>
      <c r="W36" s="138">
        <f t="shared" si="38"/>
        <v>6.1476860777331943E-4</v>
      </c>
      <c r="X36" s="138">
        <f t="shared" si="39"/>
        <v>4.0494319094819264E-3</v>
      </c>
      <c r="AA36" s="78"/>
      <c r="AB36" s="587" t="s">
        <v>97</v>
      </c>
      <c r="AC36" s="610">
        <f>AF13</f>
        <v>5.861944055467383E-2</v>
      </c>
      <c r="AD36" s="611">
        <f>AF5</f>
        <v>6.0492517527657608E-2</v>
      </c>
      <c r="AE36" s="77"/>
      <c r="AF36" s="77"/>
      <c r="AG36"/>
      <c r="AI36"/>
      <c r="AJ36"/>
      <c r="AK36"/>
      <c r="AL36"/>
      <c r="AM36"/>
      <c r="AN36"/>
      <c r="AO36"/>
      <c r="AP36"/>
      <c r="AQ36"/>
    </row>
    <row r="37" spans="1:43" ht="15.75" customHeight="1">
      <c r="A37" s="222">
        <v>34</v>
      </c>
      <c r="B37" s="684">
        <f>Investment!AQ40</f>
        <v>1961</v>
      </c>
      <c r="C37" s="685">
        <f>Investment!AT40/100</f>
        <v>0.26890000000000003</v>
      </c>
      <c r="D37" s="685">
        <f>Investment!AR40/100</f>
        <v>0.23129999999999998</v>
      </c>
      <c r="E37" s="574">
        <f t="shared" si="0"/>
        <v>23.52668592088634</v>
      </c>
      <c r="F37" s="82">
        <f t="shared" si="14"/>
        <v>0.16430486853557014</v>
      </c>
      <c r="G37" s="138">
        <f t="shared" si="26"/>
        <v>0.16856214331932584</v>
      </c>
      <c r="H37" s="137">
        <f t="shared" si="27"/>
        <v>9.4012962364921127E-2</v>
      </c>
      <c r="I37" s="137">
        <f t="shared" si="28"/>
        <v>6.8866218058853401E-2</v>
      </c>
      <c r="J37" s="137">
        <f t="shared" si="29"/>
        <v>1.4159765571468363E-2</v>
      </c>
      <c r="K37" s="138">
        <f t="shared" si="30"/>
        <v>8.6657157648194816E-2</v>
      </c>
      <c r="L37" s="138">
        <f t="shared" si="31"/>
        <v>1.2107976693790101E-2</v>
      </c>
      <c r="M37" s="185">
        <f t="shared" si="32"/>
        <v>3.3865315219014758E-2</v>
      </c>
      <c r="O37" s="82">
        <f t="shared" si="1"/>
        <v>0.15</v>
      </c>
      <c r="P37">
        <f t="shared" si="2"/>
        <v>12.103836554949803</v>
      </c>
      <c r="Q37" s="82">
        <f t="shared" si="18"/>
        <v>8.3296230112384517E-2</v>
      </c>
      <c r="R37" s="138">
        <f t="shared" si="33"/>
        <v>9.0213154139209051E-2</v>
      </c>
      <c r="S37" s="137">
        <f t="shared" si="34"/>
        <v>9.6201548104055123E-3</v>
      </c>
      <c r="T37" s="137">
        <f t="shared" si="35"/>
        <v>1.5544900184603083E-3</v>
      </c>
      <c r="U37" s="137">
        <f t="shared" si="36"/>
        <v>5.8526891967869421E-3</v>
      </c>
      <c r="V37" s="138">
        <f t="shared" si="37"/>
        <v>1.1183084625275397E-2</v>
      </c>
      <c r="W37" s="138">
        <f t="shared" si="38"/>
        <v>6.5726455826538022E-3</v>
      </c>
      <c r="X37" s="138">
        <f t="shared" si="39"/>
        <v>3.1379822809451952E-3</v>
      </c>
      <c r="AA37" s="78"/>
      <c r="AB37" s="590">
        <v>0.25</v>
      </c>
      <c r="AC37" s="610">
        <f t="shared" ref="AC37:AC40" si="42">AF14</f>
        <v>7.3676075301979005E-2</v>
      </c>
      <c r="AD37" s="611">
        <f t="shared" ref="AD37:AD40" si="43">AF6</f>
        <v>7.9030069513933654E-2</v>
      </c>
      <c r="AE37" s="77"/>
      <c r="AF37" s="77"/>
      <c r="AG37"/>
      <c r="AI37"/>
      <c r="AJ37"/>
      <c r="AK37"/>
      <c r="AL37"/>
      <c r="AM37"/>
      <c r="AN37"/>
      <c r="AO37"/>
      <c r="AP37"/>
      <c r="AQ37"/>
    </row>
    <row r="38" spans="1:43" ht="15.75" customHeight="1">
      <c r="A38" s="222">
        <v>35</v>
      </c>
      <c r="B38" s="684">
        <f>Investment!AQ41</f>
        <v>1962</v>
      </c>
      <c r="C38" s="685">
        <f>Investment!AT41/100</f>
        <v>-8.7300000000000003E-2</v>
      </c>
      <c r="D38" s="685">
        <f>Investment!AR41/100</f>
        <v>-0.11810000000000001</v>
      </c>
      <c r="E38" s="574">
        <f t="shared" si="0"/>
        <v>21.472806239992963</v>
      </c>
      <c r="F38" s="82">
        <f t="shared" si="14"/>
        <v>0.13442386374537763</v>
      </c>
      <c r="G38" s="138">
        <f t="shared" si="26"/>
        <v>0.15251799488499129</v>
      </c>
      <c r="H38" s="137">
        <f t="shared" si="27"/>
        <v>6.4131957574728615E-2</v>
      </c>
      <c r="I38" s="137">
        <f t="shared" si="28"/>
        <v>5.2822069624518853E-2</v>
      </c>
      <c r="J38" s="137">
        <f t="shared" si="29"/>
        <v>1.5721239218724148E-2</v>
      </c>
      <c r="K38" s="138">
        <f t="shared" si="30"/>
        <v>7.0613009213860267E-2</v>
      </c>
      <c r="L38" s="138">
        <f t="shared" si="31"/>
        <v>1.777302809640241E-2</v>
      </c>
      <c r="M38" s="185">
        <f t="shared" si="32"/>
        <v>1.7821166784680209E-2</v>
      </c>
      <c r="O38" s="82">
        <f t="shared" si="1"/>
        <v>7.4999999999999997E-3</v>
      </c>
      <c r="P38">
        <f t="shared" si="2"/>
        <v>12.194615329111928</v>
      </c>
      <c r="Q38" s="82">
        <f t="shared" si="18"/>
        <v>7.2100075881588621E-2</v>
      </c>
      <c r="R38" s="138">
        <f t="shared" si="33"/>
        <v>8.4250322454787696E-2</v>
      </c>
      <c r="S38" s="137">
        <f t="shared" si="34"/>
        <v>1.5759994203903838E-3</v>
      </c>
      <c r="T38" s="137">
        <f t="shared" si="35"/>
        <v>1.2750644249256204E-2</v>
      </c>
      <c r="U38" s="137">
        <f t="shared" si="36"/>
        <v>1.7048843427582838E-2</v>
      </c>
      <c r="V38" s="138">
        <f t="shared" si="37"/>
        <v>5.2202529408540421E-3</v>
      </c>
      <c r="W38" s="138">
        <f t="shared" si="38"/>
        <v>6.0981389823244747E-4</v>
      </c>
      <c r="X38" s="138">
        <f t="shared" si="39"/>
        <v>2.8248494034761595E-3</v>
      </c>
      <c r="AA38" s="78"/>
      <c r="AB38" s="590">
        <v>0.5</v>
      </c>
      <c r="AC38" s="610">
        <f t="shared" si="42"/>
        <v>8.4850720130844826E-2</v>
      </c>
      <c r="AD38" s="611">
        <f t="shared" si="43"/>
        <v>8.3640508556555249E-2</v>
      </c>
      <c r="AE38" s="77"/>
      <c r="AF38" s="77"/>
      <c r="AG38"/>
      <c r="AI38"/>
      <c r="AJ38"/>
      <c r="AK38"/>
      <c r="AL38"/>
      <c r="AM38"/>
      <c r="AN38"/>
      <c r="AO38"/>
      <c r="AP38"/>
      <c r="AQ38"/>
    </row>
    <row r="39" spans="1:43" ht="15.75" customHeight="1">
      <c r="A39" s="222">
        <v>36</v>
      </c>
      <c r="B39" s="684">
        <f>Investment!AQ42</f>
        <v>1963</v>
      </c>
      <c r="C39" s="685">
        <f>Investment!AT42/100</f>
        <v>0.22800000000000001</v>
      </c>
      <c r="D39" s="685">
        <f>Investment!AR42/100</f>
        <v>0.18890000000000001</v>
      </c>
      <c r="E39" s="574">
        <f t="shared" si="0"/>
        <v>26.368606062711358</v>
      </c>
      <c r="F39" s="82">
        <f t="shared" si="14"/>
        <v>0.15911702401991024</v>
      </c>
      <c r="G39" s="138">
        <f t="shared" si="26"/>
        <v>0.15108222294496865</v>
      </c>
      <c r="H39" s="137">
        <f t="shared" si="27"/>
        <v>8.8825117849261226E-2</v>
      </c>
      <c r="I39" s="137">
        <f t="shared" si="28"/>
        <v>5.1386297684496207E-2</v>
      </c>
      <c r="J39" s="137">
        <f t="shared" si="29"/>
        <v>8.9719210558084628E-3</v>
      </c>
      <c r="K39" s="138">
        <f t="shared" si="30"/>
        <v>6.9177237273837622E-2</v>
      </c>
      <c r="L39" s="138">
        <f t="shared" si="31"/>
        <v>6.9201321781302005E-3</v>
      </c>
      <c r="M39" s="185">
        <f t="shared" si="32"/>
        <v>1.6385394844657564E-2</v>
      </c>
      <c r="O39" s="82">
        <f t="shared" si="1"/>
        <v>0.15</v>
      </c>
      <c r="P39">
        <f t="shared" si="2"/>
        <v>14.023807628478716</v>
      </c>
      <c r="Q39" s="82">
        <f t="shared" si="18"/>
        <v>8.6377107174836043E-2</v>
      </c>
      <c r="R39" s="138">
        <f t="shared" si="33"/>
        <v>8.4250322454787696E-2</v>
      </c>
      <c r="S39" s="137">
        <f t="shared" si="34"/>
        <v>1.2701031872857038E-2</v>
      </c>
      <c r="T39" s="137">
        <f t="shared" si="35"/>
        <v>1.5263870439912175E-3</v>
      </c>
      <c r="U39" s="137">
        <f t="shared" si="36"/>
        <v>2.7718121343354163E-3</v>
      </c>
      <c r="V39" s="138">
        <f t="shared" si="37"/>
        <v>5.2202529408540421E-3</v>
      </c>
      <c r="W39" s="138">
        <f t="shared" si="38"/>
        <v>6.0981389823244747E-4</v>
      </c>
      <c r="X39" s="138">
        <f t="shared" si="39"/>
        <v>2.8248494034761595E-3</v>
      </c>
      <c r="AA39" s="78"/>
      <c r="AB39" s="590">
        <v>0.75</v>
      </c>
      <c r="AC39" s="610">
        <f t="shared" si="42"/>
        <v>8.9148919309171459E-2</v>
      </c>
      <c r="AD39" s="611">
        <f t="shared" si="43"/>
        <v>8.7075171858263856E-2</v>
      </c>
      <c r="AE39" s="77"/>
      <c r="AF39" s="77"/>
      <c r="AG39"/>
      <c r="AI39"/>
      <c r="AJ39"/>
      <c r="AK39"/>
      <c r="AL39"/>
      <c r="AM39"/>
      <c r="AN39"/>
      <c r="AO39"/>
      <c r="AP39"/>
      <c r="AQ39"/>
    </row>
    <row r="40" spans="1:43" ht="15.75" customHeight="1" thickBot="1">
      <c r="A40" s="222">
        <v>37</v>
      </c>
      <c r="B40" s="684">
        <f>Investment!AQ43</f>
        <v>1964</v>
      </c>
      <c r="C40" s="685">
        <f>Investment!AT43/100</f>
        <v>0.1648</v>
      </c>
      <c r="D40" s="685">
        <f>Investment!AR43/100</f>
        <v>0.12970000000000001</v>
      </c>
      <c r="E40" s="574">
        <f t="shared" si="0"/>
        <v>30.714152341846191</v>
      </c>
      <c r="F40" s="82">
        <f t="shared" si="14"/>
        <v>0.12821345726586553</v>
      </c>
      <c r="G40" s="138">
        <f t="shared" si="26"/>
        <v>0.14948984475233695</v>
      </c>
      <c r="H40" s="137">
        <f t="shared" si="27"/>
        <v>5.7921551095216517E-2</v>
      </c>
      <c r="I40" s="137">
        <f t="shared" si="28"/>
        <v>4.9793919491864513E-2</v>
      </c>
      <c r="J40" s="137">
        <f t="shared" si="29"/>
        <v>2.1931645698236246E-2</v>
      </c>
      <c r="K40" s="138">
        <f t="shared" si="30"/>
        <v>6.7584859081205928E-2</v>
      </c>
      <c r="L40" s="138">
        <f t="shared" si="31"/>
        <v>2.3983434575914508E-2</v>
      </c>
      <c r="M40" s="185">
        <f t="shared" si="32"/>
        <v>1.479301665202587E-2</v>
      </c>
      <c r="O40" s="82">
        <f t="shared" si="1"/>
        <v>0.12970000000000001</v>
      </c>
      <c r="P40">
        <f t="shared" si="2"/>
        <v>15.842695477892404</v>
      </c>
      <c r="Q40" s="82">
        <f t="shared" si="18"/>
        <v>8.4444009756838412E-2</v>
      </c>
      <c r="R40" s="138">
        <f t="shared" si="33"/>
        <v>8.3853547258001759E-2</v>
      </c>
      <c r="S40" s="137">
        <f t="shared" si="34"/>
        <v>1.0767934454859407E-2</v>
      </c>
      <c r="T40" s="137">
        <f t="shared" si="35"/>
        <v>4.0671037400641374E-4</v>
      </c>
      <c r="U40" s="137">
        <f t="shared" si="36"/>
        <v>4.7049095523330475E-3</v>
      </c>
      <c r="V40" s="138">
        <f t="shared" si="37"/>
        <v>4.8234777440681054E-3</v>
      </c>
      <c r="W40" s="138">
        <f t="shared" si="38"/>
        <v>2.1303870144651071E-4</v>
      </c>
      <c r="X40" s="138">
        <f t="shared" si="39"/>
        <v>3.2216246002620963E-3</v>
      </c>
      <c r="AB40" s="591" t="s">
        <v>98</v>
      </c>
      <c r="AC40" s="612">
        <f t="shared" si="42"/>
        <v>0.1042361258478568</v>
      </c>
      <c r="AD40" s="613">
        <f t="shared" si="43"/>
        <v>0.10279222680457156</v>
      </c>
      <c r="AE40" s="80"/>
      <c r="AF40" s="80"/>
      <c r="AG40"/>
      <c r="AI40"/>
      <c r="AJ40"/>
      <c r="AK40"/>
      <c r="AL40"/>
      <c r="AM40"/>
      <c r="AN40"/>
      <c r="AO40"/>
      <c r="AP40"/>
      <c r="AQ40"/>
    </row>
    <row r="41" spans="1:43" ht="15.75" customHeight="1">
      <c r="A41" s="222">
        <v>38</v>
      </c>
      <c r="B41" s="684">
        <f>Investment!AQ44</f>
        <v>1965</v>
      </c>
      <c r="C41" s="685">
        <f>Investment!AT44/100</f>
        <v>0.1245</v>
      </c>
      <c r="D41" s="685">
        <f>Investment!AR44/100</f>
        <v>9.06E-2</v>
      </c>
      <c r="E41" s="574">
        <f t="shared" si="0"/>
        <v>34.538064308406042</v>
      </c>
      <c r="F41" s="82">
        <f t="shared" si="14"/>
        <v>0.11064389868861535</v>
      </c>
      <c r="G41" s="138">
        <f t="shared" si="26"/>
        <v>0.13842919912785834</v>
      </c>
      <c r="H41" s="137">
        <f t="shared" si="27"/>
        <v>4.035199251796634E-2</v>
      </c>
      <c r="I41" s="137">
        <f t="shared" si="28"/>
        <v>3.8733273867385898E-2</v>
      </c>
      <c r="J41" s="137">
        <f t="shared" si="29"/>
        <v>3.9501204275486423E-2</v>
      </c>
      <c r="K41" s="138">
        <f t="shared" si="30"/>
        <v>5.6524213456727312E-2</v>
      </c>
      <c r="L41" s="138">
        <f t="shared" si="31"/>
        <v>4.1552993153164686E-2</v>
      </c>
      <c r="M41" s="185">
        <f t="shared" si="32"/>
        <v>3.7323710275472544E-3</v>
      </c>
      <c r="O41" s="82">
        <f t="shared" si="1"/>
        <v>9.06E-2</v>
      </c>
      <c r="P41">
        <f t="shared" si="2"/>
        <v>17.278043688189456</v>
      </c>
      <c r="Q41" s="82">
        <f t="shared" si="18"/>
        <v>7.8707999629965331E-2</v>
      </c>
      <c r="R41" s="138">
        <f t="shared" si="33"/>
        <v>8.0983303310182553E-2</v>
      </c>
      <c r="S41" s="137">
        <f t="shared" si="34"/>
        <v>5.0319243279863257E-3</v>
      </c>
      <c r="T41" s="137">
        <f t="shared" si="35"/>
        <v>6.1427205008794949E-3</v>
      </c>
      <c r="U41" s="137">
        <f t="shared" si="36"/>
        <v>1.0440919679206129E-2</v>
      </c>
      <c r="V41" s="138">
        <f t="shared" si="37"/>
        <v>1.9532337962488988E-3</v>
      </c>
      <c r="W41" s="138">
        <f t="shared" si="38"/>
        <v>2.6572052463726958E-3</v>
      </c>
      <c r="X41" s="138">
        <f t="shared" si="39"/>
        <v>6.0918685480813028E-3</v>
      </c>
      <c r="AC41" s="82"/>
      <c r="AE41" s="80"/>
      <c r="AF41" s="80"/>
      <c r="AG41"/>
      <c r="AI41"/>
      <c r="AJ41"/>
      <c r="AK41"/>
      <c r="AL41"/>
      <c r="AM41"/>
      <c r="AN41"/>
      <c r="AO41"/>
      <c r="AP41"/>
      <c r="AQ41"/>
    </row>
    <row r="42" spans="1:43" ht="15.75" customHeight="1">
      <c r="A42" s="222">
        <v>39</v>
      </c>
      <c r="B42" s="684">
        <f>Investment!AQ45</f>
        <v>1966</v>
      </c>
      <c r="C42" s="685">
        <f>Investment!AT45/100</f>
        <v>-0.10060000000000001</v>
      </c>
      <c r="D42" s="685">
        <f>Investment!AR45/100</f>
        <v>-0.13089999999999999</v>
      </c>
      <c r="E42" s="574">
        <f t="shared" si="0"/>
        <v>31.063535038980394</v>
      </c>
      <c r="F42" s="82">
        <f t="shared" si="14"/>
        <v>9.1969988079572351E-2</v>
      </c>
      <c r="G42" s="138">
        <f t="shared" si="26"/>
        <v>0.13718417496253932</v>
      </c>
      <c r="H42" s="137">
        <f t="shared" si="27"/>
        <v>2.1678081908923341E-2</v>
      </c>
      <c r="I42" s="137">
        <f t="shared" si="28"/>
        <v>3.7488249702066878E-2</v>
      </c>
      <c r="J42" s="137">
        <f t="shared" si="29"/>
        <v>5.8175114884529422E-2</v>
      </c>
      <c r="K42" s="138">
        <f t="shared" si="30"/>
        <v>5.5279189291408293E-2</v>
      </c>
      <c r="L42" s="138">
        <f t="shared" si="31"/>
        <v>6.0226903762207684E-2</v>
      </c>
      <c r="M42" s="185">
        <f t="shared" si="32"/>
        <v>2.4873468622282346E-3</v>
      </c>
      <c r="O42" s="82">
        <f t="shared" si="1"/>
        <v>7.4999999999999997E-3</v>
      </c>
      <c r="P42">
        <f t="shared" si="2"/>
        <v>17.407629015850876</v>
      </c>
      <c r="Q42" s="82">
        <f t="shared" si="18"/>
        <v>7.6726009138502693E-2</v>
      </c>
      <c r="R42" s="138">
        <f t="shared" si="33"/>
        <v>8.0983303310182553E-2</v>
      </c>
      <c r="S42" s="137">
        <f t="shared" si="34"/>
        <v>3.0499338365236883E-3</v>
      </c>
      <c r="T42" s="137">
        <f t="shared" si="35"/>
        <v>8.1247109923421323E-3</v>
      </c>
      <c r="U42" s="137">
        <f t="shared" si="36"/>
        <v>1.2422910170668766E-2</v>
      </c>
      <c r="V42" s="138">
        <f t="shared" si="37"/>
        <v>1.9532337962488988E-3</v>
      </c>
      <c r="W42" s="138">
        <f t="shared" si="38"/>
        <v>2.6572052463726958E-3</v>
      </c>
      <c r="X42" s="138">
        <f t="shared" si="39"/>
        <v>6.0918685480813028E-3</v>
      </c>
      <c r="AG42" s="86"/>
      <c r="AI42"/>
      <c r="AJ42"/>
      <c r="AK42"/>
      <c r="AL42"/>
      <c r="AM42"/>
      <c r="AN42"/>
      <c r="AO42"/>
      <c r="AP42"/>
      <c r="AQ42"/>
    </row>
    <row r="43" spans="1:43" ht="15.75" customHeight="1">
      <c r="A43" s="222">
        <v>40</v>
      </c>
      <c r="B43" s="684">
        <f>Investment!AQ46</f>
        <v>1967</v>
      </c>
      <c r="C43" s="685">
        <f>Investment!AT46/100</f>
        <v>0.23980000000000001</v>
      </c>
      <c r="D43" s="685">
        <f>Investment!AR46/100</f>
        <v>0.2009</v>
      </c>
      <c r="E43" s="574">
        <f t="shared" si="0"/>
        <v>38.512570741327892</v>
      </c>
      <c r="F43" s="82">
        <f t="shared" si="14"/>
        <v>0.12849501145796793</v>
      </c>
      <c r="G43" s="138">
        <f t="shared" si="26"/>
        <v>0.14628493667701759</v>
      </c>
      <c r="H43" s="137">
        <f t="shared" si="27"/>
        <v>5.8203105287318924E-2</v>
      </c>
      <c r="I43" s="137">
        <f t="shared" si="28"/>
        <v>4.6589011416545145E-2</v>
      </c>
      <c r="J43" s="137">
        <f t="shared" si="29"/>
        <v>2.1650091506133839E-2</v>
      </c>
      <c r="K43" s="138">
        <f t="shared" si="30"/>
        <v>6.437995100588656E-2</v>
      </c>
      <c r="L43" s="138">
        <f t="shared" si="31"/>
        <v>2.3701880383812102E-2</v>
      </c>
      <c r="M43" s="185">
        <f t="shared" si="32"/>
        <v>1.1588108576706502E-2</v>
      </c>
      <c r="O43" s="82">
        <f t="shared" si="1"/>
        <v>0.15</v>
      </c>
      <c r="P43">
        <f t="shared" si="2"/>
        <v>20.018773368228505</v>
      </c>
      <c r="Q43" s="82">
        <f t="shared" si="18"/>
        <v>9.1064643443777848E-2</v>
      </c>
      <c r="R43" s="138">
        <f t="shared" si="33"/>
        <v>8.815716303229193E-2</v>
      </c>
      <c r="S43" s="137">
        <f t="shared" si="34"/>
        <v>1.7388568141798844E-2</v>
      </c>
      <c r="T43" s="137">
        <f t="shared" si="35"/>
        <v>6.2139233129330229E-3</v>
      </c>
      <c r="U43" s="137">
        <f t="shared" si="36"/>
        <v>1.9157241346063891E-3</v>
      </c>
      <c r="V43" s="138">
        <f t="shared" si="37"/>
        <v>9.1270935183582758E-3</v>
      </c>
      <c r="W43" s="138">
        <f t="shared" si="38"/>
        <v>4.5166544757366811E-3</v>
      </c>
      <c r="X43" s="138">
        <f t="shared" si="39"/>
        <v>1.0819911740280741E-3</v>
      </c>
      <c r="AG43" s="86"/>
      <c r="AI43"/>
      <c r="AJ43"/>
      <c r="AK43"/>
      <c r="AL43"/>
      <c r="AM43"/>
      <c r="AN43"/>
      <c r="AO43"/>
      <c r="AP43"/>
      <c r="AQ43"/>
    </row>
    <row r="44" spans="1:43" ht="15.75" customHeight="1">
      <c r="A44" s="222">
        <v>41</v>
      </c>
      <c r="B44" s="684">
        <f>Investment!AQ47</f>
        <v>1968</v>
      </c>
      <c r="C44" s="685">
        <f>Investment!AT47/100</f>
        <v>0.1106</v>
      </c>
      <c r="D44" s="685">
        <f>Investment!AR47/100</f>
        <v>7.6600000000000001E-2</v>
      </c>
      <c r="E44" s="574">
        <f t="shared" si="0"/>
        <v>42.772061065318759</v>
      </c>
      <c r="F44" s="82">
        <f t="shared" si="14"/>
        <v>0.1000504709322958</v>
      </c>
      <c r="G44" s="138">
        <f t="shared" si="26"/>
        <v>0.14923235877125096</v>
      </c>
      <c r="H44" s="137">
        <f t="shared" si="27"/>
        <v>2.9758564761646789E-2</v>
      </c>
      <c r="I44" s="137">
        <f t="shared" si="28"/>
        <v>4.9536433510778521E-2</v>
      </c>
      <c r="J44" s="137">
        <f t="shared" si="29"/>
        <v>5.0094632031805975E-2</v>
      </c>
      <c r="K44" s="138">
        <f t="shared" si="30"/>
        <v>6.7327373100119936E-2</v>
      </c>
      <c r="L44" s="138">
        <f t="shared" si="31"/>
        <v>5.2146420909484237E-2</v>
      </c>
      <c r="M44" s="185">
        <f t="shared" si="32"/>
        <v>1.4535530670939878E-2</v>
      </c>
      <c r="O44" s="82">
        <f t="shared" si="1"/>
        <v>7.6600000000000001E-2</v>
      </c>
      <c r="P44">
        <f t="shared" si="2"/>
        <v>21.552211408234808</v>
      </c>
      <c r="Q44" s="82">
        <f t="shared" si="18"/>
        <v>8.3892312234037814E-2</v>
      </c>
      <c r="R44" s="138">
        <f t="shared" si="33"/>
        <v>9.177235004334694E-2</v>
      </c>
      <c r="S44" s="137">
        <f t="shared" si="34"/>
        <v>1.0216236932058809E-2</v>
      </c>
      <c r="T44" s="137">
        <f t="shared" si="35"/>
        <v>9.5840789680701199E-4</v>
      </c>
      <c r="U44" s="137">
        <f t="shared" si="36"/>
        <v>5.2566070751336458E-3</v>
      </c>
      <c r="V44" s="138">
        <f t="shared" si="37"/>
        <v>1.2742280529413286E-2</v>
      </c>
      <c r="W44" s="138">
        <f t="shared" si="38"/>
        <v>8.1318414867916911E-3</v>
      </c>
      <c r="X44" s="138">
        <f t="shared" si="39"/>
        <v>4.697178185083084E-3</v>
      </c>
      <c r="AI44"/>
      <c r="AJ44"/>
      <c r="AK44"/>
      <c r="AL44"/>
      <c r="AM44"/>
      <c r="AN44"/>
      <c r="AO44"/>
      <c r="AP44"/>
      <c r="AQ44"/>
    </row>
    <row r="45" spans="1:43" ht="15.75" customHeight="1">
      <c r="A45" s="222">
        <v>42</v>
      </c>
      <c r="B45" s="684">
        <f>Investment!AQ48</f>
        <v>1969</v>
      </c>
      <c r="C45" s="685">
        <f>Investment!AT48/100</f>
        <v>-8.5000000000000006E-2</v>
      </c>
      <c r="D45" s="685">
        <f>Investment!AR48/100</f>
        <v>-0.11359999999999999</v>
      </c>
      <c r="E45" s="574">
        <f t="shared" si="0"/>
        <v>39.136435874766669</v>
      </c>
      <c r="F45" s="82">
        <f t="shared" si="14"/>
        <v>7.8073651146109979E-2</v>
      </c>
      <c r="G45" s="138">
        <f t="shared" si="26"/>
        <v>0.13433127534237443</v>
      </c>
      <c r="H45" s="137">
        <f t="shared" si="27"/>
        <v>7.7817449754609691E-3</v>
      </c>
      <c r="I45" s="137">
        <f t="shared" si="28"/>
        <v>3.4635350081901994E-2</v>
      </c>
      <c r="J45" s="137">
        <f t="shared" si="29"/>
        <v>7.2071451817991794E-2</v>
      </c>
      <c r="K45" s="138">
        <f t="shared" si="30"/>
        <v>5.2426289671243409E-2</v>
      </c>
      <c r="L45" s="138">
        <f t="shared" si="31"/>
        <v>7.4123240695670056E-2</v>
      </c>
      <c r="M45" s="185">
        <f t="shared" si="32"/>
        <v>3.655527579366491E-4</v>
      </c>
      <c r="O45" s="82">
        <f t="shared" si="1"/>
        <v>7.4999999999999997E-3</v>
      </c>
      <c r="P45">
        <f t="shared" si="2"/>
        <v>21.713852993796571</v>
      </c>
      <c r="Q45" s="82">
        <f t="shared" si="18"/>
        <v>7.5909330429054123E-2</v>
      </c>
      <c r="R45" s="138">
        <f t="shared" si="33"/>
        <v>8.6761118448689389E-2</v>
      </c>
      <c r="S45" s="137">
        <f t="shared" si="34"/>
        <v>2.2332551270751178E-3</v>
      </c>
      <c r="T45" s="137">
        <f t="shared" si="35"/>
        <v>8.9413897017907029E-3</v>
      </c>
      <c r="U45" s="137">
        <f t="shared" si="36"/>
        <v>1.3239588880117337E-2</v>
      </c>
      <c r="V45" s="138">
        <f t="shared" si="37"/>
        <v>7.7310489347557354E-3</v>
      </c>
      <c r="W45" s="138">
        <f t="shared" si="38"/>
        <v>3.1206098921341408E-3</v>
      </c>
      <c r="X45" s="138">
        <f t="shared" si="39"/>
        <v>3.1405340957446626E-4</v>
      </c>
      <c r="AI45"/>
      <c r="AJ45"/>
      <c r="AK45"/>
      <c r="AL45"/>
      <c r="AM45"/>
      <c r="AN45"/>
      <c r="AO45"/>
      <c r="AP45"/>
      <c r="AQ45"/>
    </row>
    <row r="46" spans="1:43" ht="15.75" customHeight="1">
      <c r="A46" s="222">
        <v>43</v>
      </c>
      <c r="B46" s="684">
        <f>Investment!AQ49</f>
        <v>1970</v>
      </c>
      <c r="C46" s="685">
        <f>Investment!AT49/100</f>
        <v>4.0099999999999997E-2</v>
      </c>
      <c r="D46" s="685">
        <f>Investment!AR49/100</f>
        <v>1E-3</v>
      </c>
      <c r="E46" s="574">
        <f t="shared" si="0"/>
        <v>40.705806953344812</v>
      </c>
      <c r="F46" s="82">
        <f t="shared" si="14"/>
        <v>8.1813261883483701E-2</v>
      </c>
      <c r="G46" s="138">
        <f t="shared" si="26"/>
        <v>0.12101835551990692</v>
      </c>
      <c r="H46" s="137">
        <f t="shared" si="27"/>
        <v>1.1521355712834691E-2</v>
      </c>
      <c r="I46" s="137">
        <f t="shared" si="28"/>
        <v>2.1322430259434477E-2</v>
      </c>
      <c r="J46" s="137">
        <f t="shared" si="29"/>
        <v>6.8331841080618072E-2</v>
      </c>
      <c r="K46" s="138">
        <f t="shared" si="30"/>
        <v>3.9113369848775892E-2</v>
      </c>
      <c r="L46" s="138">
        <f t="shared" si="31"/>
        <v>7.0383629958296334E-2</v>
      </c>
      <c r="M46" s="185">
        <f t="shared" si="32"/>
        <v>1.3678472580404166E-2</v>
      </c>
      <c r="O46" s="82">
        <f t="shared" si="1"/>
        <v>7.4999999999999997E-3</v>
      </c>
      <c r="P46">
        <f t="shared" si="2"/>
        <v>21.876706891250048</v>
      </c>
      <c r="Q46" s="82">
        <f t="shared" si="18"/>
        <v>7.5909330429054123E-2</v>
      </c>
      <c r="R46" s="138">
        <f t="shared" si="33"/>
        <v>7.9596462386077871E-2</v>
      </c>
      <c r="S46" s="137">
        <f t="shared" si="34"/>
        <v>2.2332551270751178E-3</v>
      </c>
      <c r="T46" s="137">
        <f t="shared" si="35"/>
        <v>8.9413897017907029E-3</v>
      </c>
      <c r="U46" s="137">
        <f t="shared" si="36"/>
        <v>1.3239588880117337E-2</v>
      </c>
      <c r="V46" s="138">
        <f t="shared" si="37"/>
        <v>5.6639287214421685E-4</v>
      </c>
      <c r="W46" s="138">
        <f t="shared" si="38"/>
        <v>4.0440461704773778E-3</v>
      </c>
      <c r="X46" s="138">
        <f t="shared" si="39"/>
        <v>7.4787094721859848E-3</v>
      </c>
      <c r="AI46"/>
      <c r="AJ46"/>
      <c r="AK46"/>
      <c r="AL46"/>
      <c r="AM46"/>
      <c r="AN46"/>
      <c r="AO46"/>
      <c r="AP46"/>
      <c r="AQ46"/>
    </row>
    <row r="47" spans="1:43" ht="15.75" customHeight="1">
      <c r="A47" s="222">
        <v>44</v>
      </c>
      <c r="B47" s="684">
        <f>Investment!AQ50</f>
        <v>1971</v>
      </c>
      <c r="C47" s="685">
        <f>Investment!AT50/100</f>
        <v>0.1431</v>
      </c>
      <c r="D47" s="685">
        <f>Investment!AR50/100</f>
        <v>0.1079</v>
      </c>
      <c r="E47" s="574">
        <f t="shared" si="0"/>
        <v>46.530807928368453</v>
      </c>
      <c r="F47" s="82">
        <f t="shared" si="14"/>
        <v>7.057718485321729E-2</v>
      </c>
      <c r="G47" s="138">
        <f t="shared" si="26"/>
        <v>0.11645789372806425</v>
      </c>
      <c r="H47" s="137">
        <f t="shared" si="27"/>
        <v>2.852786825682796E-4</v>
      </c>
      <c r="I47" s="137">
        <f t="shared" si="28"/>
        <v>1.6761968467591815E-2</v>
      </c>
      <c r="J47" s="137">
        <f t="shared" si="29"/>
        <v>7.9567918110884484E-2</v>
      </c>
      <c r="K47" s="138">
        <f t="shared" si="30"/>
        <v>3.4552908056933229E-2</v>
      </c>
      <c r="L47" s="138">
        <f t="shared" si="31"/>
        <v>8.1619706988562746E-2</v>
      </c>
      <c r="M47" s="185">
        <f t="shared" si="32"/>
        <v>1.8238934372246829E-2</v>
      </c>
      <c r="O47" s="82">
        <f t="shared" si="1"/>
        <v>0.1079</v>
      </c>
      <c r="P47">
        <f t="shared" si="2"/>
        <v>24.237203564815925</v>
      </c>
      <c r="Q47" s="82">
        <f t="shared" si="18"/>
        <v>7.1904134315718515E-2</v>
      </c>
      <c r="R47" s="138">
        <f t="shared" si="33"/>
        <v>7.7585127841924395E-2</v>
      </c>
      <c r="S47" s="137">
        <f t="shared" si="34"/>
        <v>1.7719409862604896E-3</v>
      </c>
      <c r="T47" s="137">
        <f t="shared" si="35"/>
        <v>1.294658581512631E-2</v>
      </c>
      <c r="U47" s="137">
        <f t="shared" si="36"/>
        <v>1.7244784993452944E-2</v>
      </c>
      <c r="V47" s="138">
        <f t="shared" si="37"/>
        <v>1.4449416720092589E-3</v>
      </c>
      <c r="W47" s="138">
        <f t="shared" si="38"/>
        <v>6.0553807146308536E-3</v>
      </c>
      <c r="X47" s="138">
        <f t="shared" si="39"/>
        <v>9.4900440163394606E-3</v>
      </c>
      <c r="AI47"/>
      <c r="AJ47"/>
      <c r="AK47"/>
      <c r="AL47"/>
      <c r="AM47"/>
      <c r="AN47"/>
      <c r="AO47"/>
      <c r="AP47"/>
      <c r="AQ47"/>
    </row>
    <row r="48" spans="1:43" ht="15.75" customHeight="1">
      <c r="A48" s="222">
        <v>45</v>
      </c>
      <c r="B48" s="684">
        <f>Investment!AQ51</f>
        <v>1972</v>
      </c>
      <c r="C48" s="685">
        <f>Investment!AT51/100</f>
        <v>0.1898</v>
      </c>
      <c r="D48" s="685">
        <f>Investment!AR51/100</f>
        <v>0.15629999999999999</v>
      </c>
      <c r="E48" s="574">
        <f t="shared" si="0"/>
        <v>55.362355273172781</v>
      </c>
      <c r="F48" s="82">
        <f t="shared" si="14"/>
        <v>9.9341379588649081E-2</v>
      </c>
      <c r="G48" s="138">
        <f t="shared" si="26"/>
        <v>0.11674486585259447</v>
      </c>
      <c r="H48" s="137">
        <f t="shared" si="27"/>
        <v>2.9049473418000071E-2</v>
      </c>
      <c r="I48" s="137">
        <f t="shared" si="28"/>
        <v>1.7048940592122031E-2</v>
      </c>
      <c r="J48" s="137">
        <f t="shared" si="29"/>
        <v>5.0803723375452692E-2</v>
      </c>
      <c r="K48" s="138">
        <f t="shared" si="30"/>
        <v>3.4839880181463445E-2</v>
      </c>
      <c r="L48" s="138">
        <f t="shared" si="31"/>
        <v>5.2855512253130954E-2</v>
      </c>
      <c r="M48" s="185">
        <f t="shared" si="32"/>
        <v>1.7951962247716613E-2</v>
      </c>
      <c r="O48" s="82">
        <f t="shared" si="1"/>
        <v>0.15</v>
      </c>
      <c r="P48">
        <f t="shared" si="2"/>
        <v>27.872784099538311</v>
      </c>
      <c r="Q48" s="82">
        <f t="shared" si="18"/>
        <v>8.6178556278055041E-2</v>
      </c>
      <c r="R48" s="138">
        <f t="shared" si="33"/>
        <v>7.9116357306596052E-2</v>
      </c>
      <c r="S48" s="137">
        <f t="shared" si="34"/>
        <v>1.2502480976076036E-2</v>
      </c>
      <c r="T48" s="137">
        <f t="shared" si="35"/>
        <v>1.3278361472102151E-3</v>
      </c>
      <c r="U48" s="137">
        <f t="shared" si="36"/>
        <v>2.9703630311164186E-3</v>
      </c>
      <c r="V48" s="138">
        <f t="shared" si="37"/>
        <v>8.6287792662398388E-5</v>
      </c>
      <c r="W48" s="138">
        <f t="shared" si="38"/>
        <v>4.5241512499591963E-3</v>
      </c>
      <c r="X48" s="138">
        <f t="shared" si="39"/>
        <v>7.9588145516678033E-3</v>
      </c>
      <c r="AI48"/>
      <c r="AJ48"/>
      <c r="AK48"/>
      <c r="AL48"/>
      <c r="AM48"/>
      <c r="AN48"/>
      <c r="AO48"/>
      <c r="AP48"/>
      <c r="AQ48"/>
    </row>
    <row r="49" spans="1:43" ht="15.75" customHeight="1">
      <c r="A49" s="222">
        <v>46</v>
      </c>
      <c r="B49" s="684">
        <f>Investment!AQ52</f>
        <v>1973</v>
      </c>
      <c r="C49" s="685">
        <f>Investment!AT52/100</f>
        <v>-0.14660000000000001</v>
      </c>
      <c r="D49" s="685">
        <f>Investment!AR52/100</f>
        <v>-0.17370000000000002</v>
      </c>
      <c r="E49" s="574">
        <f t="shared" si="0"/>
        <v>47.246233990125646</v>
      </c>
      <c r="F49" s="82">
        <f t="shared" si="14"/>
        <v>6.0054032477944164E-2</v>
      </c>
      <c r="G49" s="138">
        <f t="shared" si="26"/>
        <v>0.10847944294251111</v>
      </c>
      <c r="H49" s="137">
        <f t="shared" si="27"/>
        <v>1.0237873692704846E-2</v>
      </c>
      <c r="I49" s="137">
        <f t="shared" si="28"/>
        <v>8.7835176820386662E-3</v>
      </c>
      <c r="J49" s="137">
        <f t="shared" si="29"/>
        <v>9.0091070486157609E-2</v>
      </c>
      <c r="K49" s="138">
        <f t="shared" si="30"/>
        <v>2.6574457271380081E-2</v>
      </c>
      <c r="L49" s="138">
        <f t="shared" si="31"/>
        <v>7.1667111978426179E-2</v>
      </c>
      <c r="M49" s="185">
        <f t="shared" si="32"/>
        <v>2.6217385157799977E-2</v>
      </c>
      <c r="O49" s="82">
        <f t="shared" si="1"/>
        <v>7.4999999999999997E-3</v>
      </c>
      <c r="P49">
        <f t="shared" si="2"/>
        <v>28.081829980284851</v>
      </c>
      <c r="Q49" s="82">
        <f t="shared" si="18"/>
        <v>7.1904134315718515E-2</v>
      </c>
      <c r="R49" s="138">
        <f t="shared" si="33"/>
        <v>7.9116357306596052E-2</v>
      </c>
      <c r="S49" s="137">
        <f t="shared" si="34"/>
        <v>1.7719409862604896E-3</v>
      </c>
      <c r="T49" s="137">
        <f t="shared" si="35"/>
        <v>1.294658581512631E-2</v>
      </c>
      <c r="U49" s="137">
        <f t="shared" si="36"/>
        <v>1.7244784993452944E-2</v>
      </c>
      <c r="V49" s="138">
        <f t="shared" si="37"/>
        <v>8.6287792662398388E-5</v>
      </c>
      <c r="W49" s="138">
        <f t="shared" si="38"/>
        <v>4.5241512499591963E-3</v>
      </c>
      <c r="X49" s="138">
        <f t="shared" si="39"/>
        <v>7.9588145516678033E-3</v>
      </c>
      <c r="AI49"/>
      <c r="AJ49"/>
      <c r="AK49"/>
      <c r="AL49"/>
      <c r="AM49"/>
      <c r="AN49"/>
      <c r="AO49"/>
      <c r="AP49"/>
      <c r="AQ49"/>
    </row>
    <row r="50" spans="1:43" ht="15.75" customHeight="1">
      <c r="A50" s="687">
        <v>47</v>
      </c>
      <c r="B50" s="684">
        <f>Investment!AQ53</f>
        <v>1974</v>
      </c>
      <c r="C50" s="685">
        <f>Investment!AT53/100</f>
        <v>-0.26469999999999999</v>
      </c>
      <c r="D50" s="685">
        <f>Investment!AR53/100</f>
        <v>-0.29719999999999996</v>
      </c>
      <c r="E50" s="574">
        <f t="shared" si="0"/>
        <v>34.740155852939388</v>
      </c>
      <c r="F50" s="82">
        <f t="shared" si="14"/>
        <v>1.2393441033742736E-2</v>
      </c>
      <c r="G50" s="138">
        <f t="shared" si="26"/>
        <v>6.873565684970262E-2</v>
      </c>
      <c r="H50" s="137">
        <f t="shared" si="27"/>
        <v>5.7898465136906274E-2</v>
      </c>
      <c r="I50" s="137">
        <f t="shared" si="28"/>
        <v>3.096026841076982E-2</v>
      </c>
      <c r="J50" s="137">
        <f t="shared" si="29"/>
        <v>0.13775166193035904</v>
      </c>
      <c r="K50" s="138">
        <f t="shared" si="30"/>
        <v>1.3169328821428405E-2</v>
      </c>
      <c r="L50" s="138">
        <f t="shared" si="31"/>
        <v>2.4006520534224751E-2</v>
      </c>
      <c r="M50" s="185">
        <f t="shared" si="32"/>
        <v>6.5961171250608464E-2</v>
      </c>
      <c r="N50" s="185"/>
      <c r="O50" s="82">
        <f t="shared" si="1"/>
        <v>7.4999999999999997E-3</v>
      </c>
      <c r="P50">
        <f t="shared" si="2"/>
        <v>28.292443705136989</v>
      </c>
      <c r="Q50" s="82">
        <f t="shared" si="18"/>
        <v>5.9702938462769639E-2</v>
      </c>
      <c r="R50" s="138">
        <f t="shared" si="33"/>
        <v>7.2002100621855192E-2</v>
      </c>
      <c r="S50" s="137">
        <f t="shared" si="34"/>
        <v>1.3973136839209366E-2</v>
      </c>
      <c r="T50" s="137">
        <f t="shared" si="35"/>
        <v>2.5147781668075186E-2</v>
      </c>
      <c r="U50" s="137">
        <f t="shared" si="36"/>
        <v>2.944598084640182E-2</v>
      </c>
      <c r="V50" s="138">
        <f t="shared" si="37"/>
        <v>7.0279688920784622E-3</v>
      </c>
      <c r="W50" s="138">
        <f t="shared" si="38"/>
        <v>1.1638407934700057E-2</v>
      </c>
      <c r="X50" s="138">
        <f t="shared" si="39"/>
        <v>1.5073071236408664E-2</v>
      </c>
      <c r="Y50" s="138"/>
      <c r="AI50"/>
      <c r="AJ50"/>
      <c r="AK50"/>
      <c r="AL50"/>
      <c r="AM50"/>
      <c r="AN50"/>
      <c r="AO50"/>
      <c r="AP50"/>
      <c r="AQ50"/>
    </row>
    <row r="51" spans="1:43" ht="15.75" customHeight="1">
      <c r="A51" s="687">
        <v>48</v>
      </c>
      <c r="B51" s="684">
        <f>Investment!AQ54</f>
        <v>1975</v>
      </c>
      <c r="C51" s="685">
        <f>Investment!AT54/100</f>
        <v>0.37200000000000005</v>
      </c>
      <c r="D51" s="685">
        <f>Investment!AR54/100</f>
        <v>0.3155</v>
      </c>
      <c r="E51" s="574">
        <f t="shared" si="0"/>
        <v>47.663493830232845</v>
      </c>
      <c r="F51" s="82">
        <f t="shared" si="14"/>
        <v>3.2734743741561712E-2</v>
      </c>
      <c r="G51" s="138">
        <f t="shared" si="26"/>
        <v>7.0981111925096485E-2</v>
      </c>
      <c r="H51" s="137">
        <f t="shared" si="27"/>
        <v>3.7557162429087299E-2</v>
      </c>
      <c r="I51" s="137">
        <f t="shared" si="28"/>
        <v>2.8714813335375955E-2</v>
      </c>
      <c r="J51" s="137">
        <f t="shared" si="29"/>
        <v>0.11741035922254006</v>
      </c>
      <c r="K51" s="138">
        <f t="shared" si="30"/>
        <v>1.092387374603454E-2</v>
      </c>
      <c r="L51" s="138">
        <f t="shared" si="31"/>
        <v>4.4347823242043727E-2</v>
      </c>
      <c r="M51" s="185">
        <f t="shared" si="32"/>
        <v>6.3715716175214598E-2</v>
      </c>
      <c r="N51" s="185"/>
      <c r="O51" s="82">
        <f t="shared" si="1"/>
        <v>0.15</v>
      </c>
      <c r="P51">
        <f t="shared" si="2"/>
        <v>32.536310260907534</v>
      </c>
      <c r="Q51" s="82">
        <f t="shared" si="18"/>
        <v>6.5337889523283676E-2</v>
      </c>
      <c r="R51" s="138">
        <f t="shared" si="33"/>
        <v>7.2002100621855192E-2</v>
      </c>
      <c r="S51" s="137">
        <f t="shared" si="34"/>
        <v>8.3381857786953284E-3</v>
      </c>
      <c r="T51" s="137">
        <f t="shared" si="35"/>
        <v>1.9512830607561149E-2</v>
      </c>
      <c r="U51" s="137">
        <f t="shared" si="36"/>
        <v>2.3811029785887783E-2</v>
      </c>
      <c r="V51" s="138">
        <f t="shared" si="37"/>
        <v>7.0279688920784622E-3</v>
      </c>
      <c r="W51" s="138">
        <f t="shared" si="38"/>
        <v>1.1638407934700057E-2</v>
      </c>
      <c r="X51" s="138">
        <f t="shared" si="39"/>
        <v>1.5073071236408664E-2</v>
      </c>
      <c r="Y51" s="138"/>
      <c r="AI51"/>
      <c r="AJ51"/>
      <c r="AK51"/>
      <c r="AL51"/>
      <c r="AM51"/>
      <c r="AN51"/>
      <c r="AO51"/>
      <c r="AP51"/>
      <c r="AQ51"/>
    </row>
    <row r="52" spans="1:43" ht="15.75" customHeight="1">
      <c r="A52" s="222">
        <v>49</v>
      </c>
      <c r="B52" s="684">
        <f>Investment!AQ55</f>
        <v>1976</v>
      </c>
      <c r="C52" s="685">
        <f>Investment!AT55/100</f>
        <v>0.2384</v>
      </c>
      <c r="D52" s="685">
        <f>Investment!AR55/100</f>
        <v>0.19149999999999998</v>
      </c>
      <c r="E52" s="574">
        <f t="shared" si="0"/>
        <v>59.02647075936035</v>
      </c>
      <c r="F52" s="82">
        <f t="shared" si="14"/>
        <v>6.6300453746094723E-2</v>
      </c>
      <c r="G52" s="138">
        <f t="shared" si="26"/>
        <v>7.9058892631150846E-2</v>
      </c>
      <c r="H52" s="137">
        <f t="shared" si="27"/>
        <v>3.9914524245542871E-3</v>
      </c>
      <c r="I52" s="137">
        <f t="shared" si="28"/>
        <v>2.0637032629321594E-2</v>
      </c>
      <c r="J52" s="137">
        <f t="shared" si="29"/>
        <v>8.384464921800705E-2</v>
      </c>
      <c r="K52" s="138">
        <f t="shared" si="30"/>
        <v>2.8460930399801798E-3</v>
      </c>
      <c r="L52" s="138">
        <f t="shared" si="31"/>
        <v>7.7913533246576738E-2</v>
      </c>
      <c r="M52" s="185">
        <f t="shared" si="32"/>
        <v>5.5637935469160238E-2</v>
      </c>
      <c r="O52" s="82">
        <f t="shared" si="1"/>
        <v>0.15</v>
      </c>
      <c r="P52">
        <f t="shared" si="2"/>
        <v>37.416756800043665</v>
      </c>
      <c r="Q52" s="82">
        <f t="shared" si="18"/>
        <v>7.9524869571856893E-2</v>
      </c>
      <c r="R52" s="138">
        <f t="shared" si="33"/>
        <v>7.8124531109402096E-2</v>
      </c>
      <c r="S52" s="137">
        <f t="shared" si="34"/>
        <v>5.8487942698778883E-3</v>
      </c>
      <c r="T52" s="137">
        <f t="shared" si="35"/>
        <v>5.3258505589879324E-3</v>
      </c>
      <c r="U52" s="137">
        <f t="shared" si="36"/>
        <v>9.6240497373145661E-3</v>
      </c>
      <c r="V52" s="138">
        <f t="shared" si="37"/>
        <v>9.0553840453155843E-4</v>
      </c>
      <c r="W52" s="138">
        <f t="shared" si="38"/>
        <v>5.5159774471531531E-3</v>
      </c>
      <c r="X52" s="138">
        <f t="shared" si="39"/>
        <v>8.9506407488617601E-3</v>
      </c>
      <c r="AI52"/>
      <c r="AJ52"/>
      <c r="AK52"/>
      <c r="AL52"/>
      <c r="AM52"/>
      <c r="AN52"/>
      <c r="AO52"/>
      <c r="AP52"/>
      <c r="AQ52"/>
    </row>
    <row r="53" spans="1:43" ht="15.75" customHeight="1">
      <c r="A53" s="222">
        <v>50</v>
      </c>
      <c r="B53" s="684">
        <f>Investment!AQ56</f>
        <v>1977</v>
      </c>
      <c r="C53" s="685">
        <f>Investment!AT56/100</f>
        <v>-7.1800000000000003E-2</v>
      </c>
      <c r="D53" s="685">
        <f>Investment!AR56/100</f>
        <v>-0.115</v>
      </c>
      <c r="E53" s="574">
        <f t="shared" si="0"/>
        <v>54.788370158838276</v>
      </c>
      <c r="F53" s="82">
        <f t="shared" si="14"/>
        <v>3.5877946594138566E-2</v>
      </c>
      <c r="G53" s="138">
        <f t="shared" si="26"/>
        <v>8.1195216050648611E-2</v>
      </c>
      <c r="H53" s="137">
        <f t="shared" si="27"/>
        <v>3.4413959576510444E-2</v>
      </c>
      <c r="I53" s="137">
        <f t="shared" si="28"/>
        <v>1.8500709209823829E-2</v>
      </c>
      <c r="J53" s="137">
        <f t="shared" si="29"/>
        <v>0.11426715636996321</v>
      </c>
      <c r="K53" s="138">
        <f t="shared" si="30"/>
        <v>7.0976962048241443E-4</v>
      </c>
      <c r="L53" s="138">
        <f t="shared" si="31"/>
        <v>4.7491026094620581E-2</v>
      </c>
      <c r="M53" s="185">
        <f t="shared" si="32"/>
        <v>5.3501612049662473E-2</v>
      </c>
      <c r="O53" s="82">
        <f t="shared" si="1"/>
        <v>7.4999999999999997E-3</v>
      </c>
      <c r="P53">
        <f t="shared" si="2"/>
        <v>37.697382476043991</v>
      </c>
      <c r="Q53" s="82">
        <f t="shared" si="18"/>
        <v>6.5337889523283676E-2</v>
      </c>
      <c r="R53" s="138">
        <f t="shared" si="33"/>
        <v>7.8124531109402096E-2</v>
      </c>
      <c r="S53" s="137">
        <f t="shared" si="34"/>
        <v>8.3381857786953284E-3</v>
      </c>
      <c r="T53" s="137">
        <f t="shared" si="35"/>
        <v>1.9512830607561149E-2</v>
      </c>
      <c r="U53" s="137">
        <f t="shared" si="36"/>
        <v>2.3811029785887783E-2</v>
      </c>
      <c r="V53" s="138">
        <f t="shared" si="37"/>
        <v>9.0553840453155843E-4</v>
      </c>
      <c r="W53" s="138">
        <f t="shared" si="38"/>
        <v>5.5159774471531531E-3</v>
      </c>
      <c r="X53" s="138">
        <f t="shared" si="39"/>
        <v>8.9506407488617601E-3</v>
      </c>
      <c r="AI53"/>
      <c r="AJ53"/>
      <c r="AK53"/>
      <c r="AL53"/>
      <c r="AM53"/>
      <c r="AN53"/>
      <c r="AO53"/>
      <c r="AP53"/>
      <c r="AQ53"/>
    </row>
    <row r="54" spans="1:43" ht="15.75" customHeight="1">
      <c r="A54" s="687">
        <v>51</v>
      </c>
      <c r="B54" s="684">
        <f>Investment!AQ57</f>
        <v>1978</v>
      </c>
      <c r="C54" s="685">
        <f>Investment!AT57/100</f>
        <v>6.5599999999999992E-2</v>
      </c>
      <c r="D54" s="685">
        <f>Investment!AR57/100</f>
        <v>1.06E-2</v>
      </c>
      <c r="E54" s="574">
        <f t="shared" si="0"/>
        <v>58.382487241258062</v>
      </c>
      <c r="F54" s="82">
        <f t="shared" si="14"/>
        <v>3.1602156873476117E-2</v>
      </c>
      <c r="G54" s="138">
        <f t="shared" si="26"/>
        <v>6.5276695738454293E-2</v>
      </c>
      <c r="H54" s="137">
        <f t="shared" si="27"/>
        <v>3.8689749297172893E-2</v>
      </c>
      <c r="I54" s="137">
        <f t="shared" si="28"/>
        <v>3.4419229522018147E-2</v>
      </c>
      <c r="J54" s="137">
        <f t="shared" si="29"/>
        <v>0.11854294609062566</v>
      </c>
      <c r="K54" s="138">
        <f t="shared" si="30"/>
        <v>1.6628289932676732E-2</v>
      </c>
      <c r="L54" s="138">
        <f t="shared" si="31"/>
        <v>4.3215236373958132E-2</v>
      </c>
      <c r="M54" s="185">
        <f t="shared" si="32"/>
        <v>6.942013236185679E-2</v>
      </c>
      <c r="N54" s="185"/>
      <c r="O54" s="82">
        <f t="shared" si="1"/>
        <v>1.06E-2</v>
      </c>
      <c r="P54">
        <f t="shared" si="2"/>
        <v>38.096974730290057</v>
      </c>
      <c r="Q54" s="82">
        <f t="shared" si="18"/>
        <v>5.861944055467383E-2</v>
      </c>
      <c r="R54" s="138">
        <f t="shared" si="33"/>
        <v>7.118134468385362E-2</v>
      </c>
      <c r="S54" s="137">
        <f t="shared" si="34"/>
        <v>1.5056634747305175E-2</v>
      </c>
      <c r="T54" s="137">
        <f t="shared" si="35"/>
        <v>2.6231279576170996E-2</v>
      </c>
      <c r="U54" s="137">
        <f t="shared" si="36"/>
        <v>3.052947875449763E-2</v>
      </c>
      <c r="V54" s="138">
        <f t="shared" si="37"/>
        <v>7.8487248300800339E-3</v>
      </c>
      <c r="W54" s="138">
        <f t="shared" si="38"/>
        <v>1.2459163872701629E-2</v>
      </c>
      <c r="X54" s="138">
        <f t="shared" si="39"/>
        <v>1.5893827174410236E-2</v>
      </c>
      <c r="Y54" s="138"/>
      <c r="AI54"/>
      <c r="AJ54"/>
      <c r="AK54"/>
      <c r="AL54"/>
      <c r="AM54"/>
      <c r="AN54"/>
      <c r="AO54"/>
      <c r="AP54"/>
      <c r="AQ54"/>
    </row>
    <row r="55" spans="1:43" ht="15.75" customHeight="1">
      <c r="A55" s="687">
        <v>52</v>
      </c>
      <c r="B55" s="684">
        <f>Investment!AQ58</f>
        <v>1979</v>
      </c>
      <c r="C55" s="685">
        <f>Investment!AT58/100</f>
        <v>0.18440000000000001</v>
      </c>
      <c r="D55" s="685">
        <f>Investment!AR58/100</f>
        <v>0.1231</v>
      </c>
      <c r="E55" s="574">
        <f t="shared" si="0"/>
        <v>69.148217888546057</v>
      </c>
      <c r="F55" s="82">
        <f t="shared" si="14"/>
        <v>5.8570950805904687E-2</v>
      </c>
      <c r="G55" s="138">
        <f t="shared" si="26"/>
        <v>6.827779623678909E-2</v>
      </c>
      <c r="H55" s="137">
        <f t="shared" si="27"/>
        <v>1.1720955364744323E-2</v>
      </c>
      <c r="I55" s="137">
        <f t="shared" si="28"/>
        <v>3.141812902368335E-2</v>
      </c>
      <c r="J55" s="137">
        <f t="shared" si="29"/>
        <v>9.1574152158197086E-2</v>
      </c>
      <c r="K55" s="138">
        <f t="shared" si="30"/>
        <v>1.3627189434341935E-2</v>
      </c>
      <c r="L55" s="138">
        <f t="shared" si="31"/>
        <v>7.0184030306386702E-2</v>
      </c>
      <c r="M55" s="185">
        <f t="shared" si="32"/>
        <v>6.6419031863521993E-2</v>
      </c>
      <c r="N55" s="185"/>
      <c r="O55" s="82">
        <f t="shared" si="1"/>
        <v>0.1231</v>
      </c>
      <c r="P55">
        <f t="shared" si="2"/>
        <v>42.786712319588766</v>
      </c>
      <c r="Q55" s="82">
        <f t="shared" si="18"/>
        <v>7.0180916571003893E-2</v>
      </c>
      <c r="R55" s="138">
        <f t="shared" si="33"/>
        <v>7.3041300876093951E-2</v>
      </c>
      <c r="S55" s="137">
        <f t="shared" si="34"/>
        <v>3.495158730975112E-3</v>
      </c>
      <c r="T55" s="137">
        <f t="shared" si="35"/>
        <v>1.4669803559840933E-2</v>
      </c>
      <c r="U55" s="137">
        <f t="shared" si="36"/>
        <v>1.8968002738167566E-2</v>
      </c>
      <c r="V55" s="138">
        <f t="shared" si="37"/>
        <v>5.9887686378397031E-3</v>
      </c>
      <c r="W55" s="138">
        <f t="shared" si="38"/>
        <v>1.0599207680461298E-2</v>
      </c>
      <c r="X55" s="138">
        <f t="shared" si="39"/>
        <v>1.4033870982169905E-2</v>
      </c>
      <c r="Y55" s="138"/>
      <c r="AI55"/>
      <c r="AJ55"/>
      <c r="AK55"/>
      <c r="AL55"/>
      <c r="AM55"/>
      <c r="AN55"/>
      <c r="AO55"/>
      <c r="AP55"/>
      <c r="AQ55"/>
    </row>
    <row r="56" spans="1:43" ht="15.75" customHeight="1">
      <c r="A56" s="222">
        <v>53</v>
      </c>
      <c r="B56" s="684">
        <f>Investment!AQ59</f>
        <v>1980</v>
      </c>
      <c r="C56" s="685">
        <f>Investment!AT59/100</f>
        <v>0.32420000000000004</v>
      </c>
      <c r="D56" s="685">
        <f>Investment!AR59/100</f>
        <v>0.25769999999999998</v>
      </c>
      <c r="E56" s="574">
        <f t="shared" si="0"/>
        <v>91.566070128012697</v>
      </c>
      <c r="F56" s="82">
        <f t="shared" si="14"/>
        <v>8.4445724031636971E-2</v>
      </c>
      <c r="G56" s="138">
        <f t="shared" si="26"/>
        <v>8.3128693207903837E-2</v>
      </c>
      <c r="H56" s="137">
        <f t="shared" si="27"/>
        <v>1.4153817860987961E-2</v>
      </c>
      <c r="I56" s="137">
        <f t="shared" si="28"/>
        <v>1.6567232052568603E-2</v>
      </c>
      <c r="J56" s="137">
        <f t="shared" si="29"/>
        <v>6.5699378932464803E-2</v>
      </c>
      <c r="K56" s="138">
        <f t="shared" si="30"/>
        <v>1.2237075367728112E-3</v>
      </c>
      <c r="L56" s="138">
        <f t="shared" si="31"/>
        <v>6.7751167810143065E-2</v>
      </c>
      <c r="M56" s="185">
        <f t="shared" si="32"/>
        <v>5.1568134892407247E-2</v>
      </c>
      <c r="O56" s="82">
        <f t="shared" si="1"/>
        <v>0.15</v>
      </c>
      <c r="P56">
        <f t="shared" si="2"/>
        <v>49.204719167527074</v>
      </c>
      <c r="Q56" s="82">
        <f t="shared" si="18"/>
        <v>8.4432390644220812E-2</v>
      </c>
      <c r="R56" s="138">
        <f t="shared" si="33"/>
        <v>8.0162454130674687E-2</v>
      </c>
      <c r="S56" s="137">
        <f t="shared" si="34"/>
        <v>1.0756315342241807E-2</v>
      </c>
      <c r="T56" s="137">
        <f t="shared" si="35"/>
        <v>4.1832948662401392E-4</v>
      </c>
      <c r="U56" s="137">
        <f t="shared" si="36"/>
        <v>4.7165286649506477E-3</v>
      </c>
      <c r="V56" s="138">
        <f t="shared" si="37"/>
        <v>1.1323846167410334E-3</v>
      </c>
      <c r="W56" s="138">
        <f t="shared" si="38"/>
        <v>3.4780544258805612E-3</v>
      </c>
      <c r="X56" s="138">
        <f t="shared" si="39"/>
        <v>6.9127177275891682E-3</v>
      </c>
      <c r="AI56"/>
      <c r="AJ56"/>
      <c r="AK56"/>
      <c r="AL56"/>
      <c r="AM56"/>
      <c r="AN56"/>
      <c r="AO56"/>
      <c r="AP56"/>
      <c r="AQ56"/>
    </row>
    <row r="57" spans="1:43" ht="15.75" customHeight="1">
      <c r="A57" s="687">
        <v>54</v>
      </c>
      <c r="B57" s="684">
        <f>Investment!AQ60</f>
        <v>1981</v>
      </c>
      <c r="C57" s="685">
        <f>Investment!AT60/100</f>
        <v>-4.9100000000000005E-2</v>
      </c>
      <c r="D57" s="685">
        <f>Investment!AR60/100</f>
        <v>-9.7299999999999998E-2</v>
      </c>
      <c r="E57" s="574">
        <f t="shared" si="0"/>
        <v>87.070176084727265</v>
      </c>
      <c r="F57" s="82">
        <f t="shared" si="14"/>
        <v>6.4664768859511446E-2</v>
      </c>
      <c r="G57" s="138">
        <f t="shared" si="26"/>
        <v>6.7616884026295843E-2</v>
      </c>
      <c r="H57" s="137">
        <f t="shared" si="27"/>
        <v>5.6271373111375644E-3</v>
      </c>
      <c r="I57" s="137">
        <f t="shared" si="28"/>
        <v>3.2079041234176597E-2</v>
      </c>
      <c r="J57" s="137">
        <f t="shared" si="29"/>
        <v>8.5480334104590328E-2</v>
      </c>
      <c r="K57" s="138">
        <f t="shared" si="30"/>
        <v>1.4288101644835183E-2</v>
      </c>
      <c r="L57" s="138">
        <f t="shared" si="31"/>
        <v>7.6277848359993461E-2</v>
      </c>
      <c r="M57" s="185">
        <f t="shared" si="32"/>
        <v>6.7079944074015241E-2</v>
      </c>
      <c r="N57" s="185"/>
      <c r="O57" s="82">
        <f t="shared" si="1"/>
        <v>7.4999999999999997E-3</v>
      </c>
      <c r="P57">
        <f t="shared" si="2"/>
        <v>49.573754561283529</v>
      </c>
      <c r="Q57" s="82">
        <f t="shared" si="18"/>
        <v>7.4179673838931093E-2</v>
      </c>
      <c r="R57" s="138">
        <f t="shared" si="33"/>
        <v>7.3041300876093951E-2</v>
      </c>
      <c r="S57" s="137">
        <f t="shared" si="34"/>
        <v>5.0359853695208789E-4</v>
      </c>
      <c r="T57" s="137">
        <f t="shared" si="35"/>
        <v>1.0671046291913733E-2</v>
      </c>
      <c r="U57" s="137">
        <f t="shared" si="36"/>
        <v>1.4969245470240367E-2</v>
      </c>
      <c r="V57" s="138">
        <f t="shared" si="37"/>
        <v>5.9887686378397031E-3</v>
      </c>
      <c r="W57" s="138">
        <f t="shared" si="38"/>
        <v>1.0599207680461298E-2</v>
      </c>
      <c r="X57" s="138">
        <f t="shared" si="39"/>
        <v>1.4033870982169905E-2</v>
      </c>
      <c r="Y57" s="138"/>
      <c r="AI57"/>
      <c r="AJ57"/>
      <c r="AK57"/>
      <c r="AL57"/>
      <c r="AM57"/>
      <c r="AN57"/>
      <c r="AO57"/>
      <c r="AP57"/>
      <c r="AQ57"/>
    </row>
    <row r="58" spans="1:43" ht="15.75" customHeight="1">
      <c r="A58" s="222">
        <v>55</v>
      </c>
      <c r="B58" s="684">
        <f>Investment!AQ61</f>
        <v>1982</v>
      </c>
      <c r="C58" s="685">
        <f>Investment!AT61/100</f>
        <v>0.2155</v>
      </c>
      <c r="D58" s="685">
        <f>Investment!AR61/100</f>
        <v>0.14760000000000001</v>
      </c>
      <c r="E58" s="574">
        <f t="shared" si="0"/>
        <v>105.83379903098599</v>
      </c>
      <c r="F58" s="82">
        <f t="shared" si="14"/>
        <v>6.6942421077119674E-2</v>
      </c>
      <c r="G58" s="138">
        <f t="shared" si="26"/>
        <v>8.3020753784789569E-2</v>
      </c>
      <c r="H58" s="137">
        <f t="shared" si="27"/>
        <v>3.3494850935293363E-3</v>
      </c>
      <c r="I58" s="137">
        <f t="shared" si="28"/>
        <v>1.6675171475682871E-2</v>
      </c>
      <c r="J58" s="137">
        <f t="shared" si="29"/>
        <v>8.3202681886982099E-2</v>
      </c>
      <c r="K58" s="138">
        <f t="shared" si="30"/>
        <v>1.115768113658544E-3</v>
      </c>
      <c r="L58" s="138">
        <f t="shared" si="31"/>
        <v>7.8555500577601689E-2</v>
      </c>
      <c r="M58" s="185">
        <f t="shared" si="32"/>
        <v>5.1676074315521514E-2</v>
      </c>
      <c r="O58" s="82">
        <f t="shared" si="1"/>
        <v>0.14760000000000001</v>
      </c>
      <c r="P58">
        <f t="shared" si="2"/>
        <v>56.890840734528979</v>
      </c>
      <c r="Q58" s="82">
        <f t="shared" si="18"/>
        <v>7.3955286401564679E-2</v>
      </c>
      <c r="R58" s="138">
        <f t="shared" si="33"/>
        <v>8.0049629642469977E-2</v>
      </c>
      <c r="S58" s="137">
        <f t="shared" si="34"/>
        <v>2.7921109958567447E-4</v>
      </c>
      <c r="T58" s="137">
        <f t="shared" si="35"/>
        <v>1.0895433729280146E-2</v>
      </c>
      <c r="U58" s="137">
        <f t="shared" si="36"/>
        <v>1.519363290760678E-2</v>
      </c>
      <c r="V58" s="138">
        <f t="shared" si="37"/>
        <v>1.0195601285363232E-3</v>
      </c>
      <c r="W58" s="138">
        <f t="shared" si="38"/>
        <v>3.5908789140852715E-3</v>
      </c>
      <c r="X58" s="138">
        <f t="shared" si="39"/>
        <v>7.0255422157938785E-3</v>
      </c>
      <c r="AI58"/>
      <c r="AJ58"/>
      <c r="AK58"/>
      <c r="AL58"/>
      <c r="AM58"/>
      <c r="AN58"/>
      <c r="AO58"/>
      <c r="AP58"/>
      <c r="AQ58"/>
    </row>
    <row r="59" spans="1:43" ht="15.75" customHeight="1">
      <c r="A59" s="222">
        <v>56</v>
      </c>
      <c r="B59" s="684">
        <f>Investment!AQ62</f>
        <v>1983</v>
      </c>
      <c r="C59" s="685">
        <f>Investment!AT62/100</f>
        <v>0.22559999999999999</v>
      </c>
      <c r="D59" s="685">
        <f>Investment!AR62/100</f>
        <v>0.17269999999999999</v>
      </c>
      <c r="E59" s="574">
        <f t="shared" si="0"/>
        <v>129.70990409237643</v>
      </c>
      <c r="F59" s="82">
        <f t="shared" si="14"/>
        <v>0.10626862162994155</v>
      </c>
      <c r="G59" s="138">
        <f t="shared" si="26"/>
        <v>8.2914822764300622E-2</v>
      </c>
      <c r="H59" s="137">
        <f t="shared" si="27"/>
        <v>3.5976715459292541E-2</v>
      </c>
      <c r="I59" s="137">
        <f t="shared" si="28"/>
        <v>1.6781102496171818E-2</v>
      </c>
      <c r="J59" s="137">
        <f t="shared" si="29"/>
        <v>4.3876481334160222E-2</v>
      </c>
      <c r="K59" s="138">
        <f t="shared" si="30"/>
        <v>1.0098370931695966E-3</v>
      </c>
      <c r="L59" s="138">
        <f t="shared" si="31"/>
        <v>4.5928270211838484E-2</v>
      </c>
      <c r="M59" s="185">
        <f t="shared" si="32"/>
        <v>5.1782005336010462E-2</v>
      </c>
      <c r="O59" s="82">
        <f t="shared" si="1"/>
        <v>0.15</v>
      </c>
      <c r="P59">
        <f t="shared" si="2"/>
        <v>65.42446684470832</v>
      </c>
      <c r="Q59" s="82">
        <f t="shared" si="18"/>
        <v>8.8257023316278937E-2</v>
      </c>
      <c r="R59" s="138">
        <f t="shared" si="33"/>
        <v>8.0049629642469977E-2</v>
      </c>
      <c r="S59" s="137">
        <f t="shared" si="34"/>
        <v>1.4580948014299933E-2</v>
      </c>
      <c r="T59" s="137">
        <f t="shared" si="35"/>
        <v>3.4063031854341119E-3</v>
      </c>
      <c r="U59" s="137">
        <f t="shared" si="36"/>
        <v>8.9189599289252186E-4</v>
      </c>
      <c r="V59" s="138">
        <f t="shared" si="37"/>
        <v>1.0195601285363232E-3</v>
      </c>
      <c r="W59" s="138">
        <f t="shared" si="38"/>
        <v>3.5908789140852715E-3</v>
      </c>
      <c r="X59" s="138">
        <f t="shared" si="39"/>
        <v>7.0255422157938785E-3</v>
      </c>
      <c r="AI59"/>
      <c r="AJ59"/>
      <c r="AK59"/>
      <c r="AL59"/>
      <c r="AM59"/>
      <c r="AN59"/>
      <c r="AO59"/>
      <c r="AP59"/>
      <c r="AQ59"/>
    </row>
    <row r="60" spans="1:43" ht="15.75" customHeight="1">
      <c r="A60" s="222">
        <v>57</v>
      </c>
      <c r="B60" s="684">
        <f>Investment!AQ63</f>
        <v>1984</v>
      </c>
      <c r="C60" s="685">
        <f>Investment!AT63/100</f>
        <v>6.2699999999999992E-2</v>
      </c>
      <c r="D60" s="685">
        <f>Investment!AR63/100</f>
        <v>1.3999999999999999E-2</v>
      </c>
      <c r="E60" s="574">
        <f t="shared" si="0"/>
        <v>137.84271507896844</v>
      </c>
      <c r="F60" s="82">
        <f t="shared" si="14"/>
        <v>0.14777088933259197</v>
      </c>
      <c r="G60" s="138">
        <f t="shared" si="26"/>
        <v>7.795905310442186E-2</v>
      </c>
      <c r="H60" s="137">
        <f t="shared" si="27"/>
        <v>7.747898316194296E-2</v>
      </c>
      <c r="I60" s="137">
        <f t="shared" si="28"/>
        <v>2.173687215605058E-2</v>
      </c>
      <c r="J60" s="137">
        <f t="shared" si="29"/>
        <v>2.3742136315098028E-3</v>
      </c>
      <c r="K60" s="138">
        <f t="shared" si="30"/>
        <v>3.9459325667091649E-3</v>
      </c>
      <c r="L60" s="138">
        <f t="shared" si="31"/>
        <v>4.426002509188065E-3</v>
      </c>
      <c r="M60" s="185">
        <f t="shared" si="32"/>
        <v>5.6737774995889223E-2</v>
      </c>
      <c r="O60" s="82">
        <f t="shared" si="1"/>
        <v>1.3999999999999999E-2</v>
      </c>
      <c r="P60">
        <f t="shared" si="2"/>
        <v>66.34040938053424</v>
      </c>
      <c r="Q60" s="82">
        <f t="shared" si="18"/>
        <v>8.8957094553030691E-2</v>
      </c>
      <c r="R60" s="138">
        <f t="shared" si="33"/>
        <v>7.4230437549470452E-2</v>
      </c>
      <c r="S60" s="137">
        <f t="shared" si="34"/>
        <v>1.5281019251051686E-2</v>
      </c>
      <c r="T60" s="137">
        <f t="shared" si="35"/>
        <v>4.1063744221858656E-3</v>
      </c>
      <c r="U60" s="137">
        <f t="shared" si="36"/>
        <v>1.9182475614076822E-4</v>
      </c>
      <c r="V60" s="138">
        <f t="shared" si="37"/>
        <v>4.7996319644632024E-3</v>
      </c>
      <c r="W60" s="138">
        <f t="shared" si="38"/>
        <v>9.410071007084797E-3</v>
      </c>
      <c r="X60" s="138">
        <f t="shared" si="39"/>
        <v>1.2844734308793404E-2</v>
      </c>
      <c r="AI60"/>
      <c r="AJ60"/>
      <c r="AK60"/>
      <c r="AL60"/>
      <c r="AM60"/>
      <c r="AN60"/>
      <c r="AO60"/>
      <c r="AP60"/>
      <c r="AQ60"/>
    </row>
    <row r="61" spans="1:43" ht="15.75" customHeight="1">
      <c r="A61" s="222">
        <v>58</v>
      </c>
      <c r="B61" s="684">
        <f>Investment!AQ64</f>
        <v>1985</v>
      </c>
      <c r="C61" s="685">
        <f>Investment!AT64/100</f>
        <v>0.31730000000000003</v>
      </c>
      <c r="D61" s="685">
        <f>Investment!AR64/100</f>
        <v>0.26329999999999998</v>
      </c>
      <c r="E61" s="574">
        <f t="shared" si="0"/>
        <v>181.58020857352511</v>
      </c>
      <c r="F61" s="82">
        <f t="shared" si="14"/>
        <v>0.14311063084878128</v>
      </c>
      <c r="G61" s="138">
        <f t="shared" si="26"/>
        <v>8.6522003651040125E-2</v>
      </c>
      <c r="H61" s="137">
        <f t="shared" si="27"/>
        <v>7.2818724678132274E-2</v>
      </c>
      <c r="I61" s="137">
        <f t="shared" si="28"/>
        <v>1.3173921609432315E-2</v>
      </c>
      <c r="J61" s="137">
        <f t="shared" si="29"/>
        <v>7.0344721153204892E-3</v>
      </c>
      <c r="K61" s="138">
        <f t="shared" si="30"/>
        <v>4.6170179799090993E-3</v>
      </c>
      <c r="L61" s="138">
        <f t="shared" si="31"/>
        <v>9.0862609929987515E-3</v>
      </c>
      <c r="M61" s="185">
        <f t="shared" si="32"/>
        <v>4.8174824449270959E-2</v>
      </c>
      <c r="O61" s="82">
        <f t="shared" si="1"/>
        <v>0.15</v>
      </c>
      <c r="P61">
        <f t="shared" si="2"/>
        <v>76.291470787614372</v>
      </c>
      <c r="Q61" s="82">
        <f t="shared" si="18"/>
        <v>8.8957094553030691E-2</v>
      </c>
      <c r="R61" s="138">
        <f t="shared" si="33"/>
        <v>7.7082751181418052E-2</v>
      </c>
      <c r="S61" s="137">
        <f t="shared" si="34"/>
        <v>1.5281019251051686E-2</v>
      </c>
      <c r="T61" s="137">
        <f t="shared" si="35"/>
        <v>4.1063744221858656E-3</v>
      </c>
      <c r="U61" s="137">
        <f t="shared" si="36"/>
        <v>1.9182475614076822E-4</v>
      </c>
      <c r="V61" s="138">
        <f t="shared" si="37"/>
        <v>1.9473183325156018E-3</v>
      </c>
      <c r="W61" s="138">
        <f t="shared" si="38"/>
        <v>6.5577573751371965E-3</v>
      </c>
      <c r="X61" s="138">
        <f t="shared" si="39"/>
        <v>9.9924206768458035E-3</v>
      </c>
      <c r="AI61"/>
      <c r="AJ61"/>
      <c r="AK61"/>
      <c r="AL61"/>
      <c r="AM61"/>
      <c r="AN61"/>
      <c r="AO61"/>
      <c r="AP61"/>
      <c r="AQ61"/>
    </row>
    <row r="62" spans="1:43" ht="15.75" customHeight="1">
      <c r="A62" s="222">
        <v>59</v>
      </c>
      <c r="B62" s="684">
        <f>Investment!AQ65</f>
        <v>1986</v>
      </c>
      <c r="C62" s="685">
        <f>Investment!AT65/100</f>
        <v>0.1867</v>
      </c>
      <c r="D62" s="685">
        <f>Investment!AR65/100</f>
        <v>0.1462</v>
      </c>
      <c r="E62" s="574">
        <f t="shared" si="0"/>
        <v>215.48123351420227</v>
      </c>
      <c r="F62" s="82">
        <f t="shared" si="14"/>
        <v>0.13824634277856362</v>
      </c>
      <c r="G62" s="138">
        <f t="shared" si="26"/>
        <v>0.10168624924686043</v>
      </c>
      <c r="H62" s="137">
        <f t="shared" si="27"/>
        <v>6.7954436607914614E-2</v>
      </c>
      <c r="I62" s="137">
        <f t="shared" si="28"/>
        <v>1.9903239863879874E-3</v>
      </c>
      <c r="J62" s="137">
        <f t="shared" si="29"/>
        <v>1.1898760185538149E-2</v>
      </c>
      <c r="K62" s="138">
        <f t="shared" si="30"/>
        <v>1.9781263575729402E-2</v>
      </c>
      <c r="L62" s="138">
        <f t="shared" si="31"/>
        <v>1.3950549063216411E-2</v>
      </c>
      <c r="M62" s="185">
        <f t="shared" si="32"/>
        <v>3.3010578853450656E-2</v>
      </c>
      <c r="O62" s="82">
        <f t="shared" si="1"/>
        <v>0.1462</v>
      </c>
      <c r="P62">
        <f t="shared" si="2"/>
        <v>87.445283816763592</v>
      </c>
      <c r="Q62" s="82">
        <f t="shared" si="18"/>
        <v>8.8596729079277958E-2</v>
      </c>
      <c r="R62" s="138">
        <f t="shared" si="33"/>
        <v>8.4051309660044593E-2</v>
      </c>
      <c r="S62" s="137">
        <f t="shared" si="34"/>
        <v>1.4920653777298953E-2</v>
      </c>
      <c r="T62" s="137">
        <f t="shared" si="35"/>
        <v>3.7460089484331327E-3</v>
      </c>
      <c r="U62" s="137">
        <f t="shared" si="36"/>
        <v>5.5219022989350108E-4</v>
      </c>
      <c r="V62" s="138">
        <f t="shared" si="37"/>
        <v>5.0212401461109391E-3</v>
      </c>
      <c r="W62" s="138">
        <f t="shared" si="38"/>
        <v>4.108011034893444E-4</v>
      </c>
      <c r="X62" s="138">
        <f t="shared" si="39"/>
        <v>3.0238621982192626E-3</v>
      </c>
      <c r="AI62"/>
      <c r="AJ62"/>
      <c r="AK62"/>
      <c r="AL62"/>
      <c r="AM62"/>
      <c r="AN62"/>
      <c r="AO62"/>
      <c r="AP62"/>
      <c r="AQ62"/>
    </row>
    <row r="63" spans="1:43" ht="15.75" customHeight="1">
      <c r="A63" s="222">
        <v>60</v>
      </c>
      <c r="B63" s="684">
        <f>Investment!AQ66</f>
        <v>1987</v>
      </c>
      <c r="C63" s="685">
        <f>Investment!AT66/100</f>
        <v>5.2499999999999998E-2</v>
      </c>
      <c r="D63" s="685">
        <f>Investment!AR66/100</f>
        <v>2.0299999999999999E-2</v>
      </c>
      <c r="E63" s="574">
        <f t="shared" si="0"/>
        <v>226.79399827369789</v>
      </c>
      <c r="F63" s="82">
        <f t="shared" si="14"/>
        <v>0.15264167422913189</v>
      </c>
      <c r="G63" s="138">
        <f t="shared" si="26"/>
        <v>9.2701281530914725E-2</v>
      </c>
      <c r="H63" s="137">
        <f t="shared" si="27"/>
        <v>8.2349768058482875E-2</v>
      </c>
      <c r="I63" s="137">
        <f t="shared" si="28"/>
        <v>6.9946437295577146E-3</v>
      </c>
      <c r="J63" s="137">
        <f t="shared" si="29"/>
        <v>2.496571265030112E-3</v>
      </c>
      <c r="K63" s="138">
        <f t="shared" si="30"/>
        <v>1.07962958597837E-2</v>
      </c>
      <c r="L63" s="138">
        <f t="shared" si="31"/>
        <v>4.4478238735184972E-4</v>
      </c>
      <c r="M63" s="185">
        <f t="shared" si="32"/>
        <v>4.1995546569396358E-2</v>
      </c>
      <c r="O63" s="82">
        <f t="shared" si="1"/>
        <v>2.0299999999999999E-2</v>
      </c>
      <c r="P63">
        <f t="shared" si="2"/>
        <v>89.220423078243897</v>
      </c>
      <c r="Q63" s="82">
        <f t="shared" si="18"/>
        <v>8.9971916244184325E-2</v>
      </c>
      <c r="R63" s="138">
        <f t="shared" si="33"/>
        <v>7.7584512180473242E-2</v>
      </c>
      <c r="S63" s="137">
        <f t="shared" si="34"/>
        <v>1.629584094220532E-2</v>
      </c>
      <c r="T63" s="137">
        <f t="shared" si="35"/>
        <v>5.121196113339499E-3</v>
      </c>
      <c r="U63" s="137">
        <f t="shared" si="36"/>
        <v>8.2299693501286519E-4</v>
      </c>
      <c r="V63" s="138">
        <f t="shared" si="37"/>
        <v>1.4455573334604122E-3</v>
      </c>
      <c r="W63" s="138">
        <f t="shared" si="38"/>
        <v>6.0559963760820068E-3</v>
      </c>
      <c r="X63" s="138">
        <f t="shared" si="39"/>
        <v>9.4906596777906138E-3</v>
      </c>
      <c r="AI63"/>
      <c r="AJ63"/>
      <c r="AK63"/>
      <c r="AL63"/>
      <c r="AM63"/>
      <c r="AN63"/>
      <c r="AO63"/>
      <c r="AP63"/>
      <c r="AQ63"/>
    </row>
    <row r="64" spans="1:43" ht="15.75" customHeight="1">
      <c r="A64" s="222">
        <v>61</v>
      </c>
      <c r="B64" s="684">
        <f>Investment!AQ67</f>
        <v>1988</v>
      </c>
      <c r="C64" s="685">
        <f>Investment!AT67/100</f>
        <v>0.1661</v>
      </c>
      <c r="D64" s="685">
        <f>Investment!AR67/100</f>
        <v>0.124</v>
      </c>
      <c r="E64" s="574">
        <f t="shared" si="0"/>
        <v>264.46448138695911</v>
      </c>
      <c r="F64" s="82">
        <f t="shared" si="14"/>
        <v>0.16307702247982703</v>
      </c>
      <c r="G64" s="138">
        <f t="shared" si="26"/>
        <v>9.5368780365850059E-2</v>
      </c>
      <c r="H64" s="137">
        <f t="shared" si="27"/>
        <v>9.2785116309178017E-2</v>
      </c>
      <c r="I64" s="137">
        <f t="shared" si="28"/>
        <v>4.3271448946223812E-3</v>
      </c>
      <c r="J64" s="137">
        <f t="shared" si="29"/>
        <v>1.2931919515725254E-2</v>
      </c>
      <c r="K64" s="138">
        <f t="shared" si="30"/>
        <v>1.3463794694719033E-2</v>
      </c>
      <c r="L64" s="138">
        <f t="shared" si="31"/>
        <v>1.0880130638046992E-2</v>
      </c>
      <c r="M64" s="185">
        <f t="shared" si="32"/>
        <v>3.9328047734461025E-2</v>
      </c>
      <c r="O64" s="82">
        <f t="shared" si="1"/>
        <v>0.124</v>
      </c>
      <c r="P64">
        <f t="shared" si="2"/>
        <v>100.28375553994616</v>
      </c>
      <c r="Q64" s="82">
        <f t="shared" si="18"/>
        <v>0.10162557539809369</v>
      </c>
      <c r="R64" s="138">
        <f t="shared" si="33"/>
        <v>7.9908445345553636E-2</v>
      </c>
      <c r="S64" s="137">
        <f t="shared" si="34"/>
        <v>2.7949500096114688E-2</v>
      </c>
      <c r="T64" s="137">
        <f t="shared" si="35"/>
        <v>1.6774855267248867E-2</v>
      </c>
      <c r="U64" s="137">
        <f t="shared" si="36"/>
        <v>1.2476656088922233E-2</v>
      </c>
      <c r="V64" s="138">
        <f t="shared" si="37"/>
        <v>8.7837583161998189E-4</v>
      </c>
      <c r="W64" s="138">
        <f t="shared" si="38"/>
        <v>3.7320632110016128E-3</v>
      </c>
      <c r="X64" s="138">
        <f t="shared" si="39"/>
        <v>7.1667265127102198E-3</v>
      </c>
      <c r="AI64"/>
      <c r="AJ64"/>
      <c r="AK64"/>
      <c r="AL64"/>
      <c r="AM64"/>
      <c r="AN64"/>
      <c r="AO64"/>
      <c r="AP64"/>
      <c r="AQ64"/>
    </row>
    <row r="65" spans="1:43" ht="15.75" customHeight="1">
      <c r="A65" s="222">
        <v>62</v>
      </c>
      <c r="B65" s="684">
        <f>Investment!AQ68</f>
        <v>1989</v>
      </c>
      <c r="C65" s="685">
        <f>Investment!AT68/100</f>
        <v>0.31690000000000002</v>
      </c>
      <c r="D65" s="685">
        <f>Investment!AR68/100</f>
        <v>0.27250000000000002</v>
      </c>
      <c r="E65" s="574">
        <f t="shared" si="0"/>
        <v>348.27327553848642</v>
      </c>
      <c r="F65" s="82">
        <f t="shared" si="14"/>
        <v>0.17547640443259738</v>
      </c>
      <c r="G65" s="138">
        <f t="shared" si="26"/>
        <v>0.11549324296031527</v>
      </c>
      <c r="H65" s="137">
        <f t="shared" si="27"/>
        <v>0.10518449826194837</v>
      </c>
      <c r="I65" s="137">
        <f t="shared" si="28"/>
        <v>1.5797317699842828E-2</v>
      </c>
      <c r="J65" s="137">
        <f t="shared" si="29"/>
        <v>2.5331301468495604E-2</v>
      </c>
      <c r="K65" s="138">
        <f t="shared" si="30"/>
        <v>3.3588257289184242E-2</v>
      </c>
      <c r="L65" s="138">
        <f t="shared" si="31"/>
        <v>2.3279512590817342E-2</v>
      </c>
      <c r="M65" s="185">
        <f t="shared" si="32"/>
        <v>1.9203585139995816E-2</v>
      </c>
      <c r="O65" s="82">
        <f t="shared" si="1"/>
        <v>0.15</v>
      </c>
      <c r="P65">
        <f t="shared" si="2"/>
        <v>115.32631887093807</v>
      </c>
      <c r="Q65" s="82">
        <f t="shared" si="18"/>
        <v>0.1042361258478568</v>
      </c>
      <c r="R65" s="138">
        <f t="shared" si="33"/>
        <v>8.7075171858263856E-2</v>
      </c>
      <c r="S65" s="137">
        <f t="shared" si="34"/>
        <v>3.0560050545877793E-2</v>
      </c>
      <c r="T65" s="137">
        <f t="shared" si="35"/>
        <v>1.9385405717011972E-2</v>
      </c>
      <c r="U65" s="137">
        <f t="shared" si="36"/>
        <v>1.5087206538685338E-2</v>
      </c>
      <c r="V65" s="138">
        <f t="shared" si="37"/>
        <v>8.0451023443302017E-3</v>
      </c>
      <c r="W65" s="138">
        <f t="shared" si="38"/>
        <v>3.434663301708607E-3</v>
      </c>
      <c r="X65" s="138">
        <f t="shared" si="39"/>
        <v>0</v>
      </c>
      <c r="AI65"/>
      <c r="AJ65"/>
      <c r="AK65"/>
      <c r="AL65"/>
      <c r="AM65"/>
      <c r="AN65"/>
      <c r="AO65"/>
      <c r="AP65"/>
      <c r="AQ65"/>
    </row>
    <row r="66" spans="1:43" ht="15.75" customHeight="1">
      <c r="A66" s="222">
        <v>63</v>
      </c>
      <c r="B66" s="684">
        <f>Investment!AQ69</f>
        <v>1990</v>
      </c>
      <c r="C66" s="685">
        <f>Investment!AT69/100</f>
        <v>-3.1E-2</v>
      </c>
      <c r="D66" s="685">
        <f>Investment!AR69/100</f>
        <v>-6.5599999999999992E-2</v>
      </c>
      <c r="E66" s="574">
        <f t="shared" si="0"/>
        <v>337.47680399679331</v>
      </c>
      <c r="F66" s="82">
        <f t="shared" si="14"/>
        <v>0.13933367845897737</v>
      </c>
      <c r="G66" s="138">
        <f t="shared" si="26"/>
        <v>0.11155095962806594</v>
      </c>
      <c r="H66" s="137">
        <f t="shared" si="27"/>
        <v>6.9041772288328362E-2</v>
      </c>
      <c r="I66" s="137">
        <f t="shared" si="28"/>
        <v>1.1855034367593498E-2</v>
      </c>
      <c r="J66" s="137">
        <f t="shared" si="29"/>
        <v>1.0811424505124401E-2</v>
      </c>
      <c r="K66" s="138">
        <f t="shared" si="30"/>
        <v>2.9645973956934912E-2</v>
      </c>
      <c r="L66" s="138">
        <f t="shared" si="31"/>
        <v>1.2863213382802663E-2</v>
      </c>
      <c r="M66" s="185">
        <f t="shared" si="32"/>
        <v>2.3145868472245146E-2</v>
      </c>
      <c r="O66" s="82">
        <f t="shared" si="1"/>
        <v>7.4999999999999997E-3</v>
      </c>
      <c r="P66">
        <f t="shared" si="2"/>
        <v>116.19126626247011</v>
      </c>
      <c r="Q66" s="82">
        <f t="shared" si="18"/>
        <v>8.9724393577593764E-2</v>
      </c>
      <c r="R66" s="138">
        <f t="shared" si="33"/>
        <v>8.7075171858263856E-2</v>
      </c>
      <c r="S66" s="137">
        <f t="shared" si="34"/>
        <v>1.6048318275614759E-2</v>
      </c>
      <c r="T66" s="137">
        <f t="shared" si="35"/>
        <v>4.8736734467489384E-3</v>
      </c>
      <c r="U66" s="137">
        <f t="shared" si="36"/>
        <v>5.7547426842230465E-4</v>
      </c>
      <c r="V66" s="138">
        <f t="shared" si="37"/>
        <v>8.0451023443302017E-3</v>
      </c>
      <c r="W66" s="138">
        <f t="shared" si="38"/>
        <v>3.434663301708607E-3</v>
      </c>
      <c r="X66" s="138">
        <f t="shared" si="39"/>
        <v>0</v>
      </c>
      <c r="AI66"/>
      <c r="AJ66"/>
      <c r="AK66"/>
      <c r="AL66"/>
      <c r="AM66"/>
      <c r="AN66"/>
      <c r="AO66"/>
      <c r="AP66"/>
      <c r="AQ66"/>
    </row>
    <row r="67" spans="1:43" ht="15.75" customHeight="1">
      <c r="A67" s="222">
        <v>64</v>
      </c>
      <c r="B67" s="684">
        <f>Investment!AQ70</f>
        <v>1991</v>
      </c>
      <c r="C67" s="685">
        <f>Investment!AT70/100</f>
        <v>0.30469999999999997</v>
      </c>
      <c r="D67" s="685">
        <f>Investment!AR70/100</f>
        <v>0.2631</v>
      </c>
      <c r="E67" s="574">
        <f t="shared" si="0"/>
        <v>440.30598617461624</v>
      </c>
      <c r="F67" s="82">
        <f t="shared" si="14"/>
        <v>0.17594908011471144</v>
      </c>
      <c r="G67" s="138">
        <f t="shared" si="26"/>
        <v>0.11892428500362984</v>
      </c>
      <c r="H67" s="137">
        <f t="shared" si="27"/>
        <v>0.10565717394406243</v>
      </c>
      <c r="I67" s="137">
        <f t="shared" si="28"/>
        <v>1.9228359743157397E-2</v>
      </c>
      <c r="J67" s="137">
        <f t="shared" si="29"/>
        <v>2.5803977150609669E-2</v>
      </c>
      <c r="K67" s="138">
        <f t="shared" si="30"/>
        <v>3.7019299332498812E-2</v>
      </c>
      <c r="L67" s="138">
        <f t="shared" si="31"/>
        <v>2.3752188272931407E-2</v>
      </c>
      <c r="M67" s="185">
        <f t="shared" si="32"/>
        <v>1.5772543096681246E-2</v>
      </c>
      <c r="O67" s="82">
        <f t="shared" si="1"/>
        <v>0.15</v>
      </c>
      <c r="P67">
        <f t="shared" si="2"/>
        <v>133.61995620184061</v>
      </c>
      <c r="Q67" s="82">
        <f t="shared" si="18"/>
        <v>0.1042361258478568</v>
      </c>
      <c r="R67" s="138">
        <f t="shared" si="33"/>
        <v>8.9104219762468739E-2</v>
      </c>
      <c r="S67" s="137">
        <f t="shared" si="34"/>
        <v>3.0560050545877793E-2</v>
      </c>
      <c r="T67" s="137">
        <f t="shared" si="35"/>
        <v>1.9385405717011972E-2</v>
      </c>
      <c r="U67" s="137">
        <f t="shared" si="36"/>
        <v>1.5087206538685338E-2</v>
      </c>
      <c r="V67" s="138">
        <f t="shared" si="37"/>
        <v>1.0074150248535085E-2</v>
      </c>
      <c r="W67" s="138">
        <f t="shared" si="38"/>
        <v>5.4637112059134907E-3</v>
      </c>
      <c r="X67" s="138">
        <f t="shared" si="39"/>
        <v>2.0290479042048837E-3</v>
      </c>
      <c r="AH67" s="77"/>
      <c r="AI67" s="77"/>
      <c r="AJ67" s="78"/>
      <c r="AK67" s="87"/>
      <c r="AL67" s="83"/>
      <c r="AM67" s="77"/>
      <c r="AN67" s="77"/>
      <c r="AO67"/>
      <c r="AP67"/>
      <c r="AQ67"/>
    </row>
    <row r="68" spans="1:43" ht="15.75" customHeight="1">
      <c r="A68" s="222">
        <v>65</v>
      </c>
      <c r="B68" s="684">
        <f>Investment!AQ71</f>
        <v>1992</v>
      </c>
      <c r="C68" s="685">
        <f>Investment!AT71/100</f>
        <v>7.6200000000000004E-2</v>
      </c>
      <c r="D68" s="685">
        <f>Investment!AR71/100</f>
        <v>4.4600000000000001E-2</v>
      </c>
      <c r="E68" s="574">
        <f t="shared" si="0"/>
        <v>473.85730232112201</v>
      </c>
      <c r="F68" s="82">
        <f t="shared" si="14"/>
        <v>0.16172228174681269</v>
      </c>
      <c r="G68" s="138">
        <f t="shared" si="26"/>
        <v>0.11332420431165513</v>
      </c>
      <c r="H68" s="137">
        <f t="shared" si="27"/>
        <v>9.143037557616368E-2</v>
      </c>
      <c r="I68" s="137">
        <f t="shared" si="28"/>
        <v>1.362827905118269E-2</v>
      </c>
      <c r="J68" s="137">
        <f t="shared" si="29"/>
        <v>1.1577178782710917E-2</v>
      </c>
      <c r="K68" s="138">
        <f t="shared" si="30"/>
        <v>3.1419218640524105E-2</v>
      </c>
      <c r="L68" s="138">
        <f t="shared" si="31"/>
        <v>9.5253899050326551E-3</v>
      </c>
      <c r="M68" s="185">
        <f t="shared" si="32"/>
        <v>2.1372623788655953E-2</v>
      </c>
      <c r="O68" s="82">
        <f t="shared" si="1"/>
        <v>4.4600000000000001E-2</v>
      </c>
      <c r="P68">
        <f t="shared" si="2"/>
        <v>139.57940624844269</v>
      </c>
      <c r="Q68" s="82">
        <f t="shared" si="18"/>
        <v>9.3900698061397003E-2</v>
      </c>
      <c r="R68" s="138">
        <f t="shared" si="33"/>
        <v>8.388211419941749E-2</v>
      </c>
      <c r="S68" s="137">
        <f t="shared" si="34"/>
        <v>2.0224622759417998E-2</v>
      </c>
      <c r="T68" s="137">
        <f t="shared" si="35"/>
        <v>9.0499779305521777E-3</v>
      </c>
      <c r="U68" s="137">
        <f t="shared" si="36"/>
        <v>4.7517787522255439E-3</v>
      </c>
      <c r="V68" s="138">
        <f t="shared" si="37"/>
        <v>4.8520446854838362E-3</v>
      </c>
      <c r="W68" s="138">
        <f t="shared" si="38"/>
        <v>2.4160564286224151E-4</v>
      </c>
      <c r="X68" s="138">
        <f t="shared" si="39"/>
        <v>3.1930576588463655E-3</v>
      </c>
      <c r="AH68" s="77"/>
      <c r="AI68" s="77"/>
      <c r="AJ68" s="78"/>
      <c r="AK68" s="87"/>
      <c r="AL68" s="83"/>
      <c r="AM68" s="77"/>
      <c r="AN68" s="77"/>
      <c r="AO68"/>
      <c r="AP68"/>
      <c r="AQ68"/>
    </row>
    <row r="69" spans="1:43" ht="15.75" customHeight="1">
      <c r="A69" s="222">
        <v>66</v>
      </c>
      <c r="B69" s="684">
        <f>Investment!AQ72</f>
        <v>1993</v>
      </c>
      <c r="C69" s="685">
        <f>Investment!AT72/100</f>
        <v>0.1008</v>
      </c>
      <c r="D69" s="685">
        <f>Investment!AR72/100</f>
        <v>7.0599999999999996E-2</v>
      </c>
      <c r="E69" s="574">
        <f t="shared" ref="E69:E92" si="44">E68*(1+C69)</f>
        <v>521.62211839509109</v>
      </c>
      <c r="F69" s="82">
        <f t="shared" si="14"/>
        <v>0.14931291254242507</v>
      </c>
      <c r="G69" s="138">
        <f t="shared" si="26"/>
        <v>0.12758538992832014</v>
      </c>
      <c r="H69" s="137">
        <f t="shared" si="27"/>
        <v>7.9021006371776059E-2</v>
      </c>
      <c r="I69" s="137">
        <f t="shared" si="28"/>
        <v>2.7889464667847697E-2</v>
      </c>
      <c r="J69" s="137">
        <f t="shared" si="29"/>
        <v>8.3219042167670398E-4</v>
      </c>
      <c r="K69" s="138">
        <f t="shared" si="30"/>
        <v>4.5680404257189111E-2</v>
      </c>
      <c r="L69" s="138">
        <f t="shared" si="31"/>
        <v>2.8839792993549662E-3</v>
      </c>
      <c r="M69" s="185">
        <f t="shared" si="32"/>
        <v>7.111438171990947E-3</v>
      </c>
      <c r="O69" s="82">
        <f t="shared" ref="O69:O96" si="45">IF(D69&gt;O$3,O$3,IF(D69&lt;O$2,O$2,D69))</f>
        <v>7.0599999999999996E-2</v>
      </c>
      <c r="P69">
        <f t="shared" ref="P69:P92" si="46">P68*(1+O69)</f>
        <v>149.43371232958276</v>
      </c>
      <c r="Q69" s="82">
        <f t="shared" si="18"/>
        <v>8.6102564980011564E-2</v>
      </c>
      <c r="R69" s="138">
        <f t="shared" si="33"/>
        <v>8.7179260463205566E-2</v>
      </c>
      <c r="S69" s="137">
        <f t="shared" si="34"/>
        <v>1.242648967803256E-2</v>
      </c>
      <c r="T69" s="137">
        <f t="shared" si="35"/>
        <v>1.2518448491667389E-3</v>
      </c>
      <c r="U69" s="137">
        <f t="shared" si="36"/>
        <v>3.0463543291598949E-3</v>
      </c>
      <c r="V69" s="138">
        <f t="shared" si="37"/>
        <v>8.1491909492719117E-3</v>
      </c>
      <c r="W69" s="138">
        <f t="shared" si="38"/>
        <v>3.538751906650317E-3</v>
      </c>
      <c r="X69" s="138">
        <f t="shared" si="39"/>
        <v>1.0408860494171002E-4</v>
      </c>
    </row>
    <row r="70" spans="1:43" ht="15.75" customHeight="1">
      <c r="A70" s="222">
        <v>67</v>
      </c>
      <c r="B70" s="684">
        <f>Investment!AQ73</f>
        <v>1994</v>
      </c>
      <c r="C70" s="685">
        <f>Investment!AT73/100</f>
        <v>1.32E-2</v>
      </c>
      <c r="D70" s="685">
        <f>Investment!AR73/100</f>
        <v>-1.54E-2</v>
      </c>
      <c r="E70" s="574">
        <f t="shared" si="44"/>
        <v>528.50753035790638</v>
      </c>
      <c r="F70" s="82">
        <f t="shared" si="14"/>
        <v>0.14384383576461679</v>
      </c>
      <c r="G70" s="138">
        <f t="shared" si="26"/>
        <v>0.14580568013653927</v>
      </c>
      <c r="H70" s="137">
        <f t="shared" si="27"/>
        <v>7.355192959396778E-2</v>
      </c>
      <c r="I70" s="137">
        <f t="shared" si="28"/>
        <v>4.6109754876066833E-2</v>
      </c>
      <c r="J70" s="137">
        <f t="shared" si="29"/>
        <v>6.3012671994849834E-3</v>
      </c>
      <c r="K70" s="138">
        <f t="shared" si="30"/>
        <v>6.3900694465408248E-2</v>
      </c>
      <c r="L70" s="138">
        <f t="shared" si="31"/>
        <v>8.3530560771632456E-3</v>
      </c>
      <c r="M70" s="185">
        <f t="shared" si="32"/>
        <v>1.110885203622819E-2</v>
      </c>
      <c r="O70" s="82">
        <f t="shared" si="45"/>
        <v>7.4999999999999997E-3</v>
      </c>
      <c r="P70">
        <f t="shared" si="46"/>
        <v>150.55446517205465</v>
      </c>
      <c r="Q70" s="82">
        <f t="shared" si="18"/>
        <v>8.5404328869784329E-2</v>
      </c>
      <c r="R70" s="138">
        <f t="shared" si="33"/>
        <v>8.7179260463205566E-2</v>
      </c>
      <c r="S70" s="137">
        <f t="shared" si="34"/>
        <v>1.1728253567805325E-2</v>
      </c>
      <c r="T70" s="137">
        <f t="shared" si="35"/>
        <v>5.5360873893950391E-4</v>
      </c>
      <c r="U70" s="137">
        <f t="shared" si="36"/>
        <v>3.7445904393871299E-3</v>
      </c>
      <c r="V70" s="138">
        <f t="shared" si="37"/>
        <v>8.1491909492719117E-3</v>
      </c>
      <c r="W70" s="138">
        <f t="shared" si="38"/>
        <v>3.538751906650317E-3</v>
      </c>
      <c r="X70" s="138">
        <f t="shared" si="39"/>
        <v>1.0408860494171002E-4</v>
      </c>
    </row>
    <row r="71" spans="1:43" ht="15.75" customHeight="1">
      <c r="A71" s="222">
        <v>68</v>
      </c>
      <c r="B71" s="684">
        <f>Investment!AQ74</f>
        <v>1995</v>
      </c>
      <c r="C71" s="685">
        <f>Investment!AT74/100</f>
        <v>0.37579999999999997</v>
      </c>
      <c r="D71" s="685">
        <f>Investment!AR74/100</f>
        <v>0.34110000000000001</v>
      </c>
      <c r="E71" s="574">
        <f t="shared" si="44"/>
        <v>727.12066026640753</v>
      </c>
      <c r="F71" s="82">
        <f t="shared" si="14"/>
        <v>0.14882478725259296</v>
      </c>
      <c r="G71" s="138">
        <f t="shared" si="26"/>
        <v>0.14596414747191289</v>
      </c>
      <c r="H71" s="137">
        <f t="shared" si="27"/>
        <v>7.853288108194395E-2</v>
      </c>
      <c r="I71" s="137">
        <f t="shared" si="28"/>
        <v>4.6268222211440446E-2</v>
      </c>
      <c r="J71" s="137">
        <f t="shared" si="29"/>
        <v>1.3203157115088127E-3</v>
      </c>
      <c r="K71" s="138">
        <f t="shared" si="30"/>
        <v>6.4059161800781861E-2</v>
      </c>
      <c r="L71" s="138">
        <f t="shared" si="31"/>
        <v>3.3721045891870749E-3</v>
      </c>
      <c r="M71" s="185">
        <f t="shared" si="32"/>
        <v>1.1267319371601803E-2</v>
      </c>
      <c r="O71" s="82">
        <f t="shared" si="45"/>
        <v>0.15</v>
      </c>
      <c r="P71">
        <f t="shared" si="46"/>
        <v>173.13763494786284</v>
      </c>
      <c r="Q71" s="82">
        <f t="shared" si="18"/>
        <v>8.5404328869784329E-2</v>
      </c>
      <c r="R71" s="138">
        <f t="shared" si="33"/>
        <v>8.7179260463205566E-2</v>
      </c>
      <c r="S71" s="137">
        <f t="shared" si="34"/>
        <v>1.1728253567805325E-2</v>
      </c>
      <c r="T71" s="137">
        <f t="shared" si="35"/>
        <v>5.5360873893950391E-4</v>
      </c>
      <c r="U71" s="137">
        <f t="shared" si="36"/>
        <v>3.7445904393871299E-3</v>
      </c>
      <c r="V71" s="138">
        <f t="shared" si="37"/>
        <v>8.1491909492719117E-3</v>
      </c>
      <c r="W71" s="138">
        <f t="shared" si="38"/>
        <v>3.538751906650317E-3</v>
      </c>
      <c r="X71" s="138">
        <f t="shared" si="39"/>
        <v>1.0408860494171002E-4</v>
      </c>
    </row>
    <row r="72" spans="1:43" ht="15.75" customHeight="1">
      <c r="A72" s="222">
        <v>69</v>
      </c>
      <c r="B72" s="684">
        <f>Investment!AQ75</f>
        <v>1996</v>
      </c>
      <c r="C72" s="685">
        <f>Investment!AT75/100</f>
        <v>0.2296</v>
      </c>
      <c r="D72" s="685">
        <f>Investment!AR75/100</f>
        <v>0.2026</v>
      </c>
      <c r="E72" s="574">
        <f t="shared" si="44"/>
        <v>894.06756386357472</v>
      </c>
      <c r="F72" s="82">
        <f t="shared" si="14"/>
        <v>0.1529118117804793</v>
      </c>
      <c r="G72" s="138">
        <f t="shared" si="26"/>
        <v>0.1455556089973713</v>
      </c>
      <c r="H72" s="137">
        <f t="shared" si="27"/>
        <v>8.2619905609830291E-2</v>
      </c>
      <c r="I72" s="137">
        <f t="shared" si="28"/>
        <v>4.585968373689886E-2</v>
      </c>
      <c r="J72" s="137">
        <f t="shared" si="29"/>
        <v>2.7667088163775277E-3</v>
      </c>
      <c r="K72" s="138">
        <f t="shared" si="30"/>
        <v>6.3650623326240274E-2</v>
      </c>
      <c r="L72" s="138">
        <f t="shared" si="31"/>
        <v>7.1491993869926551E-4</v>
      </c>
      <c r="M72" s="185">
        <f t="shared" si="32"/>
        <v>1.0858780897060216E-2</v>
      </c>
      <c r="O72" s="82">
        <f t="shared" si="45"/>
        <v>0.15</v>
      </c>
      <c r="P72">
        <f t="shared" si="46"/>
        <v>199.10828019004225</v>
      </c>
      <c r="Q72" s="82">
        <f t="shared" si="18"/>
        <v>8.5763637541892201E-2</v>
      </c>
      <c r="R72" s="138">
        <f t="shared" si="33"/>
        <v>8.7179260463205566E-2</v>
      </c>
      <c r="S72" s="137">
        <f t="shared" si="34"/>
        <v>1.2087562239913197E-2</v>
      </c>
      <c r="T72" s="137">
        <f t="shared" si="35"/>
        <v>9.1291741104737589E-4</v>
      </c>
      <c r="U72" s="137">
        <f t="shared" si="36"/>
        <v>3.3852817672792579E-3</v>
      </c>
      <c r="V72" s="138">
        <f t="shared" si="37"/>
        <v>8.1491909492719117E-3</v>
      </c>
      <c r="W72" s="138">
        <f t="shared" si="38"/>
        <v>3.538751906650317E-3</v>
      </c>
      <c r="X72" s="138">
        <f t="shared" si="39"/>
        <v>1.0408860494171002E-4</v>
      </c>
    </row>
    <row r="73" spans="1:43" ht="15.75" customHeight="1">
      <c r="A73" s="222">
        <v>70</v>
      </c>
      <c r="B73" s="684">
        <f>Investment!AQ76</f>
        <v>1997</v>
      </c>
      <c r="C73" s="685">
        <f>Investment!AT76/100</f>
        <v>0.33360000000000001</v>
      </c>
      <c r="D73" s="685">
        <f>Investment!AR76/100</f>
        <v>0.31010000000000004</v>
      </c>
      <c r="E73" s="574">
        <f t="shared" si="44"/>
        <v>1192.3285031684634</v>
      </c>
      <c r="F73" s="82">
        <f t="shared" si="14"/>
        <v>0.1805283931683701</v>
      </c>
      <c r="G73" s="138">
        <f t="shared" si="26"/>
        <v>0.16650170320347879</v>
      </c>
      <c r="H73" s="137">
        <f t="shared" si="27"/>
        <v>0.11023648699772109</v>
      </c>
      <c r="I73" s="137">
        <f t="shared" si="28"/>
        <v>6.680577794300635E-2</v>
      </c>
      <c r="J73" s="137">
        <f t="shared" si="29"/>
        <v>3.0383290204268332E-2</v>
      </c>
      <c r="K73" s="138">
        <f t="shared" si="30"/>
        <v>8.4596717532347765E-2</v>
      </c>
      <c r="L73" s="138">
        <f t="shared" si="31"/>
        <v>2.8331501326590069E-2</v>
      </c>
      <c r="M73" s="185">
        <f t="shared" si="32"/>
        <v>3.1804875103167707E-2</v>
      </c>
      <c r="O73" s="82">
        <f t="shared" si="45"/>
        <v>0.15</v>
      </c>
      <c r="P73">
        <f t="shared" si="46"/>
        <v>228.97452221854857</v>
      </c>
      <c r="Q73" s="82">
        <f t="shared" si="18"/>
        <v>9.8834504689282676E-2</v>
      </c>
      <c r="R73" s="138">
        <f t="shared" si="33"/>
        <v>9.4394239162198135E-2</v>
      </c>
      <c r="S73" s="137">
        <f t="shared" si="34"/>
        <v>2.5158429387303671E-2</v>
      </c>
      <c r="T73" s="137">
        <f t="shared" si="35"/>
        <v>1.3983784558437851E-2</v>
      </c>
      <c r="U73" s="137">
        <f t="shared" si="36"/>
        <v>9.6855853801112168E-3</v>
      </c>
      <c r="V73" s="138">
        <f t="shared" si="37"/>
        <v>1.5364169648264481E-2</v>
      </c>
      <c r="W73" s="138">
        <f t="shared" si="38"/>
        <v>1.0753730605642886E-2</v>
      </c>
      <c r="X73" s="138">
        <f t="shared" si="39"/>
        <v>7.3190673039342791E-3</v>
      </c>
    </row>
    <row r="74" spans="1:43" ht="15.75" customHeight="1">
      <c r="A74" s="222">
        <v>71</v>
      </c>
      <c r="B74" s="684">
        <f>Investment!AQ77</f>
        <v>1998</v>
      </c>
      <c r="C74" s="685">
        <f>Investment!AT77/100</f>
        <v>0.2858</v>
      </c>
      <c r="D74" s="685">
        <f>Investment!AR77/100</f>
        <v>0.26669999999999999</v>
      </c>
      <c r="E74" s="574">
        <f t="shared" si="44"/>
        <v>1533.0959893740103</v>
      </c>
      <c r="F74" s="82">
        <f t="shared" si="14"/>
        <v>0.19212061855649942</v>
      </c>
      <c r="G74" s="138">
        <f t="shared" si="26"/>
        <v>0.17750927786896997</v>
      </c>
      <c r="H74" s="137">
        <f t="shared" si="27"/>
        <v>0.12182871238585041</v>
      </c>
      <c r="I74" s="137">
        <f t="shared" si="28"/>
        <v>7.7813352608497532E-2</v>
      </c>
      <c r="J74" s="137">
        <f t="shared" si="29"/>
        <v>4.197551559239765E-2</v>
      </c>
      <c r="K74" s="138">
        <f t="shared" si="30"/>
        <v>9.5604292197838947E-2</v>
      </c>
      <c r="L74" s="138">
        <f t="shared" si="31"/>
        <v>3.9923726714719387E-2</v>
      </c>
      <c r="M74" s="185">
        <f t="shared" si="32"/>
        <v>4.2812449768658889E-2</v>
      </c>
      <c r="O74" s="82">
        <f t="shared" si="45"/>
        <v>0.15</v>
      </c>
      <c r="P74">
        <f t="shared" si="46"/>
        <v>263.32070055133084</v>
      </c>
      <c r="Q74" s="82">
        <f t="shared" si="18"/>
        <v>0.10135021580352532</v>
      </c>
      <c r="R74" s="138">
        <f t="shared" si="33"/>
        <v>0.10148788699620903</v>
      </c>
      <c r="S74" s="137">
        <f t="shared" si="34"/>
        <v>2.7674140501546318E-2</v>
      </c>
      <c r="T74" s="137">
        <f t="shared" si="35"/>
        <v>1.6499495672680498E-2</v>
      </c>
      <c r="U74" s="137">
        <f t="shared" si="36"/>
        <v>1.2201296494353864E-2</v>
      </c>
      <c r="V74" s="138">
        <f t="shared" si="37"/>
        <v>2.2457817482275377E-2</v>
      </c>
      <c r="W74" s="138">
        <f t="shared" si="38"/>
        <v>1.7847378439653783E-2</v>
      </c>
      <c r="X74" s="138">
        <f t="shared" si="39"/>
        <v>1.4412715137945176E-2</v>
      </c>
    </row>
    <row r="75" spans="1:43" ht="15.75" customHeight="1">
      <c r="A75" s="222">
        <v>72</v>
      </c>
      <c r="B75" s="684">
        <f>Investment!AQ78</f>
        <v>1999</v>
      </c>
      <c r="C75" s="685">
        <f>Investment!AT78/100</f>
        <v>0.2104</v>
      </c>
      <c r="D75" s="685">
        <f>Investment!AR78/100</f>
        <v>0.1953</v>
      </c>
      <c r="E75" s="574">
        <f t="shared" si="44"/>
        <v>1855.6593855383019</v>
      </c>
      <c r="F75" s="82">
        <f t="shared" si="14"/>
        <v>0.18210978214206408</v>
      </c>
      <c r="G75" s="138">
        <f t="shared" si="26"/>
        <v>0.17878842730871547</v>
      </c>
      <c r="H75" s="137">
        <f t="shared" si="27"/>
        <v>0.11181787597141507</v>
      </c>
      <c r="I75" s="137">
        <f t="shared" si="28"/>
        <v>7.909250204824303E-2</v>
      </c>
      <c r="J75" s="137">
        <f t="shared" si="29"/>
        <v>3.1964679177962307E-2</v>
      </c>
      <c r="K75" s="138">
        <f t="shared" si="30"/>
        <v>9.6883441637584444E-2</v>
      </c>
      <c r="L75" s="138">
        <f t="shared" si="31"/>
        <v>2.9912890300284045E-2</v>
      </c>
      <c r="M75" s="185">
        <f t="shared" si="32"/>
        <v>4.4091599208404386E-2</v>
      </c>
      <c r="O75" s="82">
        <f t="shared" si="45"/>
        <v>0.15</v>
      </c>
      <c r="P75">
        <f t="shared" si="46"/>
        <v>302.81880563403047</v>
      </c>
      <c r="Q75" s="82">
        <f t="shared" si="18"/>
        <v>0.10135021580352532</v>
      </c>
      <c r="R75" s="138">
        <f t="shared" si="33"/>
        <v>0.10279222680457156</v>
      </c>
      <c r="S75" s="137">
        <f t="shared" si="34"/>
        <v>2.7674140501546318E-2</v>
      </c>
      <c r="T75" s="137">
        <f t="shared" si="35"/>
        <v>1.6499495672680498E-2</v>
      </c>
      <c r="U75" s="137">
        <f t="shared" si="36"/>
        <v>1.2201296494353864E-2</v>
      </c>
      <c r="V75" s="138">
        <f t="shared" si="37"/>
        <v>2.3762157290637909E-2</v>
      </c>
      <c r="W75" s="138">
        <f t="shared" si="38"/>
        <v>1.9151718248016314E-2</v>
      </c>
      <c r="X75" s="138">
        <f t="shared" si="39"/>
        <v>1.5717054946307707E-2</v>
      </c>
    </row>
    <row r="76" spans="1:43" ht="15.75" customHeight="1">
      <c r="A76" s="222">
        <v>73</v>
      </c>
      <c r="B76" s="684">
        <f>Investment!AQ79</f>
        <v>2000</v>
      </c>
      <c r="C76" s="685">
        <f>Investment!AT79/100</f>
        <v>-9.0999999999999998E-2</v>
      </c>
      <c r="D76" s="685">
        <f>Investment!AR79/100</f>
        <v>-0.1014</v>
      </c>
      <c r="E76" s="574">
        <f t="shared" si="44"/>
        <v>1686.7943814543164</v>
      </c>
      <c r="F76" s="82">
        <f t="shared" si="14"/>
        <v>0.17457789081347519</v>
      </c>
      <c r="G76" s="138">
        <f t="shared" si="26"/>
        <v>0.15682157179796041</v>
      </c>
      <c r="H76" s="137">
        <f t="shared" si="27"/>
        <v>0.10428598464282618</v>
      </c>
      <c r="I76" s="137">
        <f t="shared" si="28"/>
        <v>5.7125646537487973E-2</v>
      </c>
      <c r="J76" s="137">
        <f t="shared" si="29"/>
        <v>2.4432787849373416E-2</v>
      </c>
      <c r="K76" s="138">
        <f t="shared" si="30"/>
        <v>7.4916586126829388E-2</v>
      </c>
      <c r="L76" s="138">
        <f t="shared" si="31"/>
        <v>2.2380998971695154E-2</v>
      </c>
      <c r="M76" s="185">
        <f t="shared" si="32"/>
        <v>2.2124743697649329E-2</v>
      </c>
      <c r="O76" s="82">
        <f t="shared" si="45"/>
        <v>7.4999999999999997E-3</v>
      </c>
      <c r="P76">
        <f t="shared" si="46"/>
        <v>305.08994667628571</v>
      </c>
      <c r="Q76" s="82">
        <f t="shared" si="18"/>
        <v>0.10135021580352532</v>
      </c>
      <c r="R76" s="138">
        <f t="shared" si="33"/>
        <v>9.5521882954899606E-2</v>
      </c>
      <c r="S76" s="137">
        <f t="shared" si="34"/>
        <v>2.7674140501546318E-2</v>
      </c>
      <c r="T76" s="137">
        <f t="shared" si="35"/>
        <v>1.6499495672680498E-2</v>
      </c>
      <c r="U76" s="137">
        <f t="shared" si="36"/>
        <v>1.2201296494353864E-2</v>
      </c>
      <c r="V76" s="138">
        <f t="shared" si="37"/>
        <v>1.6491813440965952E-2</v>
      </c>
      <c r="W76" s="138">
        <f t="shared" si="38"/>
        <v>1.1881374398344358E-2</v>
      </c>
      <c r="X76" s="138">
        <f t="shared" si="39"/>
        <v>8.4467110966357506E-3</v>
      </c>
    </row>
    <row r="77" spans="1:43" ht="15.75" customHeight="1">
      <c r="A77" s="222">
        <v>74</v>
      </c>
      <c r="B77" s="684">
        <f>Investment!AQ80</f>
        <v>2001</v>
      </c>
      <c r="C77" s="685">
        <f>Investment!AT80/100</f>
        <v>-0.11890000000000001</v>
      </c>
      <c r="D77" s="685">
        <f>Investment!AR80/100</f>
        <v>-0.13039999999999999</v>
      </c>
      <c r="E77" s="574">
        <f t="shared" si="44"/>
        <v>1486.2345294993981</v>
      </c>
      <c r="F77" s="82">
        <f t="shared" si="14"/>
        <v>0.12936227279267332</v>
      </c>
      <c r="G77" s="138">
        <f t="shared" si="26"/>
        <v>0.15242029043522298</v>
      </c>
      <c r="H77" s="137">
        <f t="shared" si="27"/>
        <v>5.9070366622024306E-2</v>
      </c>
      <c r="I77" s="137">
        <f t="shared" si="28"/>
        <v>5.2724365174750543E-2</v>
      </c>
      <c r="J77" s="137">
        <f t="shared" si="29"/>
        <v>2.0782830171428457E-2</v>
      </c>
      <c r="K77" s="138">
        <f t="shared" si="30"/>
        <v>7.0515304764091957E-2</v>
      </c>
      <c r="L77" s="138">
        <f t="shared" si="31"/>
        <v>2.2834619049106719E-2</v>
      </c>
      <c r="M77" s="185">
        <f t="shared" si="32"/>
        <v>1.7723462334911899E-2</v>
      </c>
      <c r="O77" s="82">
        <f t="shared" si="45"/>
        <v>7.4999999999999997E-3</v>
      </c>
      <c r="P77">
        <f t="shared" si="46"/>
        <v>307.37812127635789</v>
      </c>
      <c r="Q77" s="82">
        <f t="shared" si="18"/>
        <v>8.6876409800062504E-2</v>
      </c>
      <c r="R77" s="138">
        <f t="shared" si="33"/>
        <v>9.5521882954899606E-2</v>
      </c>
      <c r="S77" s="137">
        <f t="shared" si="34"/>
        <v>1.3200334498083499E-2</v>
      </c>
      <c r="T77" s="137">
        <f t="shared" si="35"/>
        <v>2.0256896692176785E-3</v>
      </c>
      <c r="U77" s="137">
        <f t="shared" si="36"/>
        <v>2.2725095091089553E-3</v>
      </c>
      <c r="V77" s="138">
        <f t="shared" si="37"/>
        <v>1.6491813440965952E-2</v>
      </c>
      <c r="W77" s="138">
        <f t="shared" si="38"/>
        <v>1.1881374398344358E-2</v>
      </c>
      <c r="X77" s="138">
        <f t="shared" si="39"/>
        <v>8.4467110966357506E-3</v>
      </c>
    </row>
    <row r="78" spans="1:43" ht="15.75" customHeight="1">
      <c r="A78" s="222">
        <v>75</v>
      </c>
      <c r="B78" s="684">
        <f>Investment!AQ81</f>
        <v>2002</v>
      </c>
      <c r="C78" s="685">
        <f>Investment!AT81/100</f>
        <v>-0.221</v>
      </c>
      <c r="D78" s="685">
        <f>Investment!AR81/100</f>
        <v>-0.23370000000000002</v>
      </c>
      <c r="E78" s="574">
        <f t="shared" si="44"/>
        <v>1157.7766984800312</v>
      </c>
      <c r="F78" s="82">
        <f t="shared" ref="F78:F92" si="47">(E78/E68)^(1/10)-1</f>
        <v>9.3446963036374786E-2</v>
      </c>
      <c r="G78" s="138">
        <f t="shared" si="26"/>
        <v>0.12706774457782255</v>
      </c>
      <c r="H78" s="137">
        <f t="shared" si="27"/>
        <v>2.3155056865725776E-2</v>
      </c>
      <c r="I78" s="137">
        <f t="shared" si="28"/>
        <v>2.737181931735011E-2</v>
      </c>
      <c r="J78" s="137">
        <f t="shared" si="29"/>
        <v>5.6698139927726987E-2</v>
      </c>
      <c r="K78" s="138">
        <f t="shared" si="30"/>
        <v>4.5162758906691525E-2</v>
      </c>
      <c r="L78" s="138">
        <f t="shared" si="31"/>
        <v>5.8749928805405249E-2</v>
      </c>
      <c r="M78" s="185">
        <f t="shared" si="32"/>
        <v>7.6290835224885334E-3</v>
      </c>
      <c r="O78" s="82">
        <f t="shared" si="45"/>
        <v>7.4999999999999997E-3</v>
      </c>
      <c r="P78">
        <f t="shared" si="46"/>
        <v>309.68345718593059</v>
      </c>
      <c r="Q78" s="82">
        <f t="shared" ref="Q78:Q92" si="48">(P78/P68)^(1/10)-1</f>
        <v>8.29531428547714E-2</v>
      </c>
      <c r="R78" s="138">
        <f t="shared" si="33"/>
        <v>8.8413156359577583E-2</v>
      </c>
      <c r="S78" s="137">
        <f t="shared" si="34"/>
        <v>9.2770675527923951E-3</v>
      </c>
      <c r="T78" s="137">
        <f t="shared" si="35"/>
        <v>1.8975772760734255E-3</v>
      </c>
      <c r="U78" s="137">
        <f t="shared" si="36"/>
        <v>6.1957764544000593E-3</v>
      </c>
      <c r="V78" s="138">
        <f t="shared" si="37"/>
        <v>9.3830868456439287E-3</v>
      </c>
      <c r="W78" s="138">
        <f t="shared" si="38"/>
        <v>4.772647803022334E-3</v>
      </c>
      <c r="X78" s="138">
        <f t="shared" si="39"/>
        <v>1.337984501313727E-3</v>
      </c>
    </row>
    <row r="79" spans="1:43" ht="15.75" customHeight="1">
      <c r="A79" s="222">
        <v>76</v>
      </c>
      <c r="B79" s="684">
        <f>Investment!AQ82</f>
        <v>2003</v>
      </c>
      <c r="C79" s="685">
        <f>Investment!AT82/100</f>
        <v>0.2868</v>
      </c>
      <c r="D79" s="685">
        <f>Investment!AR82/100</f>
        <v>0.26379999999999998</v>
      </c>
      <c r="E79" s="574">
        <f t="shared" si="44"/>
        <v>1489.8270556041041</v>
      </c>
      <c r="F79" s="82">
        <f t="shared" si="47"/>
        <v>0.11065195611311096</v>
      </c>
      <c r="G79" s="138">
        <f t="shared" si="26"/>
        <v>0.12981708010690873</v>
      </c>
      <c r="H79" s="137">
        <f t="shared" si="27"/>
        <v>4.0360049942461951E-2</v>
      </c>
      <c r="I79" s="137">
        <f t="shared" si="28"/>
        <v>3.0121154846436293E-2</v>
      </c>
      <c r="J79" s="137">
        <f t="shared" si="29"/>
        <v>3.9493146850990812E-2</v>
      </c>
      <c r="K79" s="138">
        <f t="shared" si="30"/>
        <v>4.7912094435777708E-2</v>
      </c>
      <c r="L79" s="138">
        <f t="shared" si="31"/>
        <v>4.1544935728669075E-2</v>
      </c>
      <c r="M79" s="185">
        <f t="shared" si="32"/>
        <v>4.8797479934023502E-3</v>
      </c>
      <c r="O79" s="82">
        <f t="shared" si="45"/>
        <v>0.15</v>
      </c>
      <c r="P79">
        <f t="shared" si="46"/>
        <v>356.13597576382017</v>
      </c>
      <c r="Q79" s="82">
        <f t="shared" si="48"/>
        <v>9.07286633269484E-2</v>
      </c>
      <c r="R79" s="138">
        <f t="shared" si="33"/>
        <v>8.8413156359577583E-2</v>
      </c>
      <c r="S79" s="137">
        <f t="shared" si="34"/>
        <v>1.7052588024969395E-2</v>
      </c>
      <c r="T79" s="137">
        <f t="shared" si="35"/>
        <v>5.8779431961035744E-3</v>
      </c>
      <c r="U79" s="137">
        <f t="shared" si="36"/>
        <v>1.5797440177769406E-3</v>
      </c>
      <c r="V79" s="138">
        <f t="shared" si="37"/>
        <v>9.3830868456439287E-3</v>
      </c>
      <c r="W79" s="138">
        <f t="shared" si="38"/>
        <v>4.772647803022334E-3</v>
      </c>
      <c r="X79" s="138">
        <f t="shared" si="39"/>
        <v>1.337984501313727E-3</v>
      </c>
    </row>
    <row r="80" spans="1:43" ht="15.75" customHeight="1">
      <c r="A80" s="222">
        <v>77</v>
      </c>
      <c r="B80" s="684">
        <f>Investment!AQ83</f>
        <v>2004</v>
      </c>
      <c r="C80" s="685">
        <f>Investment!AT83/100</f>
        <v>0.10880000000000001</v>
      </c>
      <c r="D80" s="685">
        <f>Investment!AR83/100</f>
        <v>8.9900000000000008E-2</v>
      </c>
      <c r="E80" s="574">
        <f t="shared" si="44"/>
        <v>1651.9202392538307</v>
      </c>
      <c r="F80" s="82">
        <f t="shared" si="47"/>
        <v>0.12071139949070742</v>
      </c>
      <c r="G80" s="138">
        <f t="shared" si="26"/>
        <v>0.13221854161578839</v>
      </c>
      <c r="H80" s="137">
        <f t="shared" si="27"/>
        <v>5.0419493320058406E-2</v>
      </c>
      <c r="I80" s="137">
        <f t="shared" si="28"/>
        <v>3.2522616355315948E-2</v>
      </c>
      <c r="J80" s="137">
        <f t="shared" si="29"/>
        <v>2.9433703473394357E-2</v>
      </c>
      <c r="K80" s="138">
        <f t="shared" si="30"/>
        <v>5.0313555944657362E-2</v>
      </c>
      <c r="L80" s="138">
        <f t="shared" si="31"/>
        <v>3.1485492351072619E-2</v>
      </c>
      <c r="M80" s="185">
        <f t="shared" si="32"/>
        <v>2.478286484522696E-3</v>
      </c>
      <c r="O80" s="82">
        <f t="shared" si="45"/>
        <v>8.9900000000000008E-2</v>
      </c>
      <c r="P80">
        <f t="shared" si="46"/>
        <v>388.15259998498766</v>
      </c>
      <c r="Q80" s="82">
        <f t="shared" si="48"/>
        <v>9.9337103282191475E-2</v>
      </c>
      <c r="R80" s="138">
        <f t="shared" si="33"/>
        <v>9.2348502443089231E-2</v>
      </c>
      <c r="S80" s="137">
        <f t="shared" si="34"/>
        <v>2.566102798021247E-2</v>
      </c>
      <c r="T80" s="137">
        <f t="shared" si="35"/>
        <v>1.4486383151346649E-2</v>
      </c>
      <c r="U80" s="137">
        <f t="shared" si="36"/>
        <v>1.0188183973020015E-2</v>
      </c>
      <c r="V80" s="138">
        <f t="shared" si="37"/>
        <v>1.3318432929155577E-2</v>
      </c>
      <c r="W80" s="138">
        <f t="shared" si="38"/>
        <v>8.7079938865339823E-3</v>
      </c>
      <c r="X80" s="138">
        <f t="shared" si="39"/>
        <v>5.2733305848253753E-3</v>
      </c>
    </row>
    <row r="81" spans="1:24" ht="15.75" customHeight="1">
      <c r="A81" s="222">
        <v>78</v>
      </c>
      <c r="B81" s="684">
        <f>Investment!AQ84</f>
        <v>2005</v>
      </c>
      <c r="C81" s="685">
        <f>Investment!AT84/100</f>
        <v>4.9100000000000005E-2</v>
      </c>
      <c r="D81" s="685">
        <f>Investment!AR84/100</f>
        <v>0.03</v>
      </c>
      <c r="E81" s="574">
        <f t="shared" si="44"/>
        <v>1733.0295230011936</v>
      </c>
      <c r="F81" s="82">
        <f t="shared" si="47"/>
        <v>9.073675415033966E-2</v>
      </c>
      <c r="G81" s="138">
        <f t="shared" si="26"/>
        <v>0.11940404659593207</v>
      </c>
      <c r="H81" s="137">
        <f t="shared" si="27"/>
        <v>2.044484797969065E-2</v>
      </c>
      <c r="I81" s="137">
        <f t="shared" si="28"/>
        <v>1.9708121335459627E-2</v>
      </c>
      <c r="J81" s="137">
        <f t="shared" si="29"/>
        <v>5.9408348813762113E-2</v>
      </c>
      <c r="K81" s="138">
        <f t="shared" si="30"/>
        <v>3.7499060924801042E-2</v>
      </c>
      <c r="L81" s="138">
        <f t="shared" si="31"/>
        <v>6.1460137691440375E-2</v>
      </c>
      <c r="M81" s="185">
        <f t="shared" si="32"/>
        <v>1.5292781504379016E-2</v>
      </c>
      <c r="O81" s="82">
        <f t="shared" si="45"/>
        <v>0.03</v>
      </c>
      <c r="P81">
        <f t="shared" si="46"/>
        <v>399.79717798453731</v>
      </c>
      <c r="Q81" s="82">
        <f t="shared" si="48"/>
        <v>8.7288574421420684E-2</v>
      </c>
      <c r="R81" s="138">
        <f t="shared" si="33"/>
        <v>8.6346043122386806E-2</v>
      </c>
      <c r="S81" s="137">
        <f t="shared" si="34"/>
        <v>1.3612499119441679E-2</v>
      </c>
      <c r="T81" s="137">
        <f t="shared" si="35"/>
        <v>2.4378542905758582E-3</v>
      </c>
      <c r="U81" s="137">
        <f t="shared" si="36"/>
        <v>1.8603448877507756E-3</v>
      </c>
      <c r="V81" s="138">
        <f t="shared" si="37"/>
        <v>7.3159736084531524E-3</v>
      </c>
      <c r="W81" s="138">
        <f t="shared" si="38"/>
        <v>2.7055345658315577E-3</v>
      </c>
      <c r="X81" s="138">
        <f t="shared" si="39"/>
        <v>7.2912873587704929E-4</v>
      </c>
    </row>
    <row r="82" spans="1:24" ht="15.75" customHeight="1">
      <c r="A82" s="222">
        <v>79</v>
      </c>
      <c r="B82" s="684">
        <f>Investment!AQ85</f>
        <v>2006</v>
      </c>
      <c r="C82" s="685">
        <f>Investment!AT85/100</f>
        <v>0.15789999999999998</v>
      </c>
      <c r="D82" s="685">
        <f>Investment!AR85/100</f>
        <v>0.13619999999999999</v>
      </c>
      <c r="E82" s="574">
        <f t="shared" si="44"/>
        <v>2006.6748846830819</v>
      </c>
      <c r="F82" s="82">
        <f t="shared" si="47"/>
        <v>8.4203157133525552E-2</v>
      </c>
      <c r="G82" s="138">
        <f t="shared" si="26"/>
        <v>0.11802979666417146</v>
      </c>
      <c r="H82" s="137">
        <f t="shared" si="27"/>
        <v>1.3911250962876542E-2</v>
      </c>
      <c r="I82" s="137">
        <f t="shared" si="28"/>
        <v>1.833387140369902E-2</v>
      </c>
      <c r="J82" s="137">
        <f t="shared" si="29"/>
        <v>6.5941945830576221E-2</v>
      </c>
      <c r="K82" s="138">
        <f t="shared" si="30"/>
        <v>3.6124810993040435E-2</v>
      </c>
      <c r="L82" s="138">
        <f t="shared" si="31"/>
        <v>6.7993734708254483E-2</v>
      </c>
      <c r="M82" s="185">
        <f t="shared" si="32"/>
        <v>1.6667031436139623E-2</v>
      </c>
      <c r="O82" s="82">
        <f t="shared" si="45"/>
        <v>0.13619999999999999</v>
      </c>
      <c r="P82">
        <f t="shared" si="46"/>
        <v>454.24955362603134</v>
      </c>
      <c r="Q82" s="82">
        <f t="shared" si="48"/>
        <v>8.5976728485104292E-2</v>
      </c>
      <c r="R82" s="138">
        <f t="shared" si="33"/>
        <v>8.587017778638284E-2</v>
      </c>
      <c r="S82" s="137">
        <f t="shared" si="34"/>
        <v>1.2300653183125287E-2</v>
      </c>
      <c r="T82" s="137">
        <f t="shared" si="35"/>
        <v>1.1260083542594668E-3</v>
      </c>
      <c r="U82" s="137">
        <f t="shared" si="36"/>
        <v>3.172190824067167E-3</v>
      </c>
      <c r="V82" s="138">
        <f t="shared" si="37"/>
        <v>6.8401082724491857E-3</v>
      </c>
      <c r="W82" s="138">
        <f t="shared" si="38"/>
        <v>2.2296692298275911E-3</v>
      </c>
      <c r="X82" s="138">
        <f t="shared" si="39"/>
        <v>1.2049940718810159E-3</v>
      </c>
    </row>
    <row r="83" spans="1:24" ht="15.75" customHeight="1">
      <c r="A83" s="222">
        <v>80</v>
      </c>
      <c r="B83" s="684">
        <f>Investment!AQ86</f>
        <v>2007</v>
      </c>
      <c r="C83" s="685">
        <f>Investment!AT86/100</f>
        <v>5.4900000000000004E-2</v>
      </c>
      <c r="D83" s="685">
        <f>Investment!AR86/100</f>
        <v>3.5299999999999998E-2</v>
      </c>
      <c r="E83" s="574">
        <f t="shared" si="44"/>
        <v>2116.841335852183</v>
      </c>
      <c r="F83" s="82">
        <f t="shared" si="47"/>
        <v>5.9081149506374553E-2</v>
      </c>
      <c r="G83" s="138">
        <f t="shared" si="26"/>
        <v>0.11815713013049756</v>
      </c>
      <c r="H83" s="137">
        <f t="shared" si="27"/>
        <v>1.1210756664274457E-2</v>
      </c>
      <c r="I83" s="137">
        <f t="shared" si="28"/>
        <v>1.8461204870025116E-2</v>
      </c>
      <c r="J83" s="137">
        <f t="shared" si="29"/>
        <v>9.106395345772722E-2</v>
      </c>
      <c r="K83" s="138">
        <f t="shared" si="30"/>
        <v>3.6252144459366531E-2</v>
      </c>
      <c r="L83" s="138">
        <f t="shared" si="31"/>
        <v>7.0694229006856568E-2</v>
      </c>
      <c r="M83" s="185">
        <f t="shared" si="32"/>
        <v>1.6539697969813527E-2</v>
      </c>
      <c r="O83" s="82">
        <f t="shared" si="45"/>
        <v>3.5299999999999998E-2</v>
      </c>
      <c r="P83">
        <f t="shared" si="46"/>
        <v>470.2845628690302</v>
      </c>
      <c r="Q83" s="82">
        <f t="shared" si="48"/>
        <v>7.4626030415675393E-2</v>
      </c>
      <c r="R83" s="138">
        <f t="shared" si="33"/>
        <v>8.6662855653959703E-2</v>
      </c>
      <c r="S83" s="137">
        <f t="shared" si="34"/>
        <v>9.4995511369638796E-4</v>
      </c>
      <c r="T83" s="137">
        <f t="shared" si="35"/>
        <v>1.0224689715169433E-2</v>
      </c>
      <c r="U83" s="137">
        <f t="shared" si="36"/>
        <v>1.4522888893496066E-2</v>
      </c>
      <c r="V83" s="138">
        <f t="shared" si="37"/>
        <v>7.6327861400260488E-3</v>
      </c>
      <c r="W83" s="138">
        <f t="shared" si="38"/>
        <v>3.0223470974044542E-3</v>
      </c>
      <c r="X83" s="138">
        <f t="shared" si="39"/>
        <v>4.1231620430415283E-4</v>
      </c>
    </row>
    <row r="84" spans="1:24" ht="15.75" customHeight="1">
      <c r="A84" s="222">
        <v>81</v>
      </c>
      <c r="B84" s="684">
        <f>Investment!AQ87</f>
        <v>2008</v>
      </c>
      <c r="C84" s="685">
        <f>Investment!AT87/100</f>
        <v>-0.37</v>
      </c>
      <c r="D84" s="685">
        <f>Investment!AR87/100</f>
        <v>-0.38490000000000002</v>
      </c>
      <c r="E84" s="574">
        <f t="shared" si="44"/>
        <v>1333.6100415868752</v>
      </c>
      <c r="F84" s="82">
        <f t="shared" si="47"/>
        <v>-1.3843251739694917E-2</v>
      </c>
      <c r="G84" s="138">
        <f t="shared" si="26"/>
        <v>8.4259098522922571E-2</v>
      </c>
      <c r="H84" s="137">
        <f t="shared" si="27"/>
        <v>8.4135157910343927E-2</v>
      </c>
      <c r="I84" s="137">
        <f t="shared" si="28"/>
        <v>1.5436826737549869E-2</v>
      </c>
      <c r="J84" s="137">
        <f t="shared" si="29"/>
        <v>0.16398835470379669</v>
      </c>
      <c r="K84" s="138">
        <f t="shared" si="30"/>
        <v>2.3541128517915455E-3</v>
      </c>
      <c r="L84" s="138">
        <f t="shared" si="31"/>
        <v>2.230172239212902E-3</v>
      </c>
      <c r="M84" s="185">
        <f t="shared" si="32"/>
        <v>5.0437729577388513E-2</v>
      </c>
      <c r="O84" s="82">
        <f t="shared" si="45"/>
        <v>7.4999999999999997E-3</v>
      </c>
      <c r="P84">
        <f t="shared" si="46"/>
        <v>473.81169709054797</v>
      </c>
      <c r="Q84" s="82">
        <f t="shared" si="48"/>
        <v>6.0503430295095084E-2</v>
      </c>
      <c r="R84" s="138">
        <f t="shared" si="33"/>
        <v>8.0733862621081176E-2</v>
      </c>
      <c r="S84" s="137">
        <f t="shared" si="34"/>
        <v>1.3172645006883921E-2</v>
      </c>
      <c r="T84" s="137">
        <f t="shared" si="35"/>
        <v>2.4347289835749741E-2</v>
      </c>
      <c r="U84" s="137">
        <f t="shared" si="36"/>
        <v>2.8645489014076375E-2</v>
      </c>
      <c r="V84" s="138">
        <f t="shared" si="37"/>
        <v>1.7037931071475221E-3</v>
      </c>
      <c r="W84" s="138">
        <f t="shared" si="38"/>
        <v>2.9066459354740726E-3</v>
      </c>
      <c r="X84" s="138">
        <f t="shared" si="39"/>
        <v>6.3413092371826796E-3</v>
      </c>
    </row>
    <row r="85" spans="1:24" ht="15.75" customHeight="1">
      <c r="A85" s="222">
        <v>82</v>
      </c>
      <c r="B85" s="684">
        <f>Investment!AQ88</f>
        <v>2009</v>
      </c>
      <c r="C85" s="685">
        <f>Investment!AT88/100</f>
        <v>0.2646</v>
      </c>
      <c r="D85" s="685">
        <f>Investment!AR88/100</f>
        <v>0.23449999999999999</v>
      </c>
      <c r="E85" s="574">
        <f t="shared" si="44"/>
        <v>1686.4832585907623</v>
      </c>
      <c r="F85" s="82">
        <f t="shared" si="47"/>
        <v>-9.5139183696903995E-3</v>
      </c>
      <c r="G85" s="138">
        <f t="shared" si="26"/>
        <v>8.2064363229263693E-2</v>
      </c>
      <c r="H85" s="137">
        <f t="shared" si="27"/>
        <v>7.980582454033941E-2</v>
      </c>
      <c r="I85" s="137">
        <f t="shared" si="28"/>
        <v>1.7631562031208747E-2</v>
      </c>
      <c r="J85" s="137">
        <f t="shared" si="29"/>
        <v>0.15965902133379217</v>
      </c>
      <c r="K85" s="138">
        <f t="shared" si="30"/>
        <v>1.593775581326673E-4</v>
      </c>
      <c r="L85" s="138">
        <f t="shared" si="31"/>
        <v>2.0991611307916158E-3</v>
      </c>
      <c r="M85" s="185">
        <f t="shared" si="32"/>
        <v>5.2632464871047391E-2</v>
      </c>
      <c r="O85" s="82">
        <f t="shared" si="45"/>
        <v>0.15</v>
      </c>
      <c r="P85">
        <f t="shared" si="46"/>
        <v>544.88345165413011</v>
      </c>
      <c r="Q85" s="82">
        <f t="shared" si="48"/>
        <v>6.0503430295095084E-2</v>
      </c>
      <c r="R85" s="138">
        <f t="shared" si="33"/>
        <v>8.0733862621081176E-2</v>
      </c>
      <c r="S85" s="137">
        <f t="shared" si="34"/>
        <v>1.3172645006883921E-2</v>
      </c>
      <c r="T85" s="137">
        <f t="shared" si="35"/>
        <v>2.4347289835749741E-2</v>
      </c>
      <c r="U85" s="137">
        <f t="shared" si="36"/>
        <v>2.8645489014076375E-2</v>
      </c>
      <c r="V85" s="138">
        <f t="shared" si="37"/>
        <v>1.7037931071475221E-3</v>
      </c>
      <c r="W85" s="138">
        <f t="shared" si="38"/>
        <v>2.9066459354740726E-3</v>
      </c>
      <c r="X85" s="138">
        <f t="shared" si="39"/>
        <v>6.3413092371826796E-3</v>
      </c>
    </row>
    <row r="86" spans="1:24" ht="15.75" customHeight="1">
      <c r="A86" s="222">
        <v>83</v>
      </c>
      <c r="B86" s="684">
        <f>Investment!AQ89</f>
        <v>2010</v>
      </c>
      <c r="C86" s="685">
        <f>Investment!AT89/100</f>
        <v>0.15060000000000001</v>
      </c>
      <c r="D86" s="685">
        <f>Investment!AR89/100</f>
        <v>0.1278</v>
      </c>
      <c r="E86" s="574">
        <f t="shared" si="44"/>
        <v>1940.4676373345312</v>
      </c>
      <c r="F86" s="82">
        <f t="shared" si="47"/>
        <v>1.4108506899439766E-2</v>
      </c>
      <c r="G86" s="138">
        <f t="shared" si="26"/>
        <v>9.1397925181254225E-2</v>
      </c>
      <c r="H86" s="137">
        <f t="shared" si="27"/>
        <v>5.6183399271209244E-2</v>
      </c>
      <c r="I86" s="137">
        <f t="shared" si="28"/>
        <v>8.2980000792182151E-3</v>
      </c>
      <c r="J86" s="137">
        <f t="shared" si="29"/>
        <v>0.13603659606466201</v>
      </c>
      <c r="K86" s="138">
        <f t="shared" si="30"/>
        <v>9.4929395101231995E-3</v>
      </c>
      <c r="L86" s="138">
        <f t="shared" si="31"/>
        <v>2.5721586399921781E-2</v>
      </c>
      <c r="M86" s="185">
        <f t="shared" si="32"/>
        <v>4.3298902919056859E-2</v>
      </c>
      <c r="O86" s="82">
        <f t="shared" si="45"/>
        <v>0.1278</v>
      </c>
      <c r="P86">
        <f t="shared" si="46"/>
        <v>614.51955677552792</v>
      </c>
      <c r="Q86" s="82">
        <f t="shared" si="48"/>
        <v>7.253329043859158E-2</v>
      </c>
      <c r="R86" s="138">
        <f t="shared" si="33"/>
        <v>8.6846249881282978E-2</v>
      </c>
      <c r="S86" s="137">
        <f t="shared" si="34"/>
        <v>1.1427848633874249E-3</v>
      </c>
      <c r="T86" s="137">
        <f t="shared" si="35"/>
        <v>1.2317429692253246E-2</v>
      </c>
      <c r="U86" s="137">
        <f t="shared" si="36"/>
        <v>1.6615628870579879E-2</v>
      </c>
      <c r="V86" s="138">
        <f t="shared" si="37"/>
        <v>7.8161803673493235E-3</v>
      </c>
      <c r="W86" s="138">
        <f t="shared" si="38"/>
        <v>3.2057413247277289E-3</v>
      </c>
      <c r="X86" s="138">
        <f t="shared" si="39"/>
        <v>2.2892197698087813E-4</v>
      </c>
    </row>
    <row r="87" spans="1:24" ht="15.75" customHeight="1">
      <c r="A87" s="222">
        <v>84</v>
      </c>
      <c r="B87" s="684">
        <f>Investment!AQ90</f>
        <v>2011</v>
      </c>
      <c r="C87" s="685">
        <f>Investment!AT90/100</f>
        <v>2.1099999999999997E-2</v>
      </c>
      <c r="D87" s="685">
        <f>Investment!AR90/100</f>
        <v>0</v>
      </c>
      <c r="E87" s="574">
        <f t="shared" si="44"/>
        <v>1981.4115044822897</v>
      </c>
      <c r="F87" s="82">
        <f t="shared" si="47"/>
        <v>2.9173827533852448E-2</v>
      </c>
      <c r="G87" s="138">
        <f t="shared" si="26"/>
        <v>7.8104861765480704E-2</v>
      </c>
      <c r="H87" s="137">
        <f t="shared" si="27"/>
        <v>4.1118078636796562E-2</v>
      </c>
      <c r="I87" s="137">
        <f t="shared" si="28"/>
        <v>2.1591063494991736E-2</v>
      </c>
      <c r="J87" s="137">
        <f t="shared" si="29"/>
        <v>0.12097127543024933</v>
      </c>
      <c r="K87" s="138">
        <f t="shared" si="30"/>
        <v>3.8001239056503211E-3</v>
      </c>
      <c r="L87" s="138">
        <f t="shared" si="31"/>
        <v>4.0786907034334463E-2</v>
      </c>
      <c r="M87" s="185">
        <f t="shared" si="32"/>
        <v>5.6591966334830379E-2</v>
      </c>
      <c r="O87" s="82">
        <f t="shared" si="45"/>
        <v>7.4999999999999997E-3</v>
      </c>
      <c r="P87">
        <f t="shared" si="46"/>
        <v>619.1284534513444</v>
      </c>
      <c r="Q87" s="82">
        <f t="shared" si="48"/>
        <v>7.253329043859158E-2</v>
      </c>
      <c r="R87" s="138">
        <f t="shared" si="33"/>
        <v>7.9681032575336097E-2</v>
      </c>
      <c r="S87" s="137">
        <f t="shared" si="34"/>
        <v>1.1427848633874249E-3</v>
      </c>
      <c r="T87" s="137">
        <f t="shared" si="35"/>
        <v>1.2317429692253246E-2</v>
      </c>
      <c r="U87" s="137">
        <f t="shared" si="36"/>
        <v>1.6615628870579879E-2</v>
      </c>
      <c r="V87" s="138">
        <f t="shared" si="37"/>
        <v>6.5096306140244309E-4</v>
      </c>
      <c r="W87" s="138">
        <f t="shared" si="38"/>
        <v>3.9594759812191516E-3</v>
      </c>
      <c r="X87" s="138">
        <f t="shared" si="39"/>
        <v>7.3941392829277586E-3</v>
      </c>
    </row>
    <row r="88" spans="1:24" ht="15.75" customHeight="1">
      <c r="A88" s="222">
        <v>85</v>
      </c>
      <c r="B88" s="684">
        <f>Investment!AQ91</f>
        <v>2012</v>
      </c>
      <c r="C88" s="685">
        <f>Investment!AT91/100</f>
        <v>0.16</v>
      </c>
      <c r="D88" s="685">
        <f>Investment!AR91/100</f>
        <v>0.1341</v>
      </c>
      <c r="E88" s="574">
        <f t="shared" si="44"/>
        <v>2298.4373451994561</v>
      </c>
      <c r="F88" s="82">
        <f t="shared" si="47"/>
        <v>7.0978584012706847E-2</v>
      </c>
      <c r="G88" s="138">
        <f t="shared" ref="G88:G92" si="49">(E88/E68)^(1/20)-1</f>
        <v>8.2154462249124149E-2</v>
      </c>
      <c r="H88" s="137">
        <f t="shared" ref="H88:H95" si="50">ABS(F88-AC$14)</f>
        <v>6.8667784205783677E-4</v>
      </c>
      <c r="I88" s="137">
        <f t="shared" ref="I88:I95" si="51">ABS(G88-AC$15)</f>
        <v>1.7541463011348291E-2</v>
      </c>
      <c r="J88" s="137">
        <f t="shared" ref="J88:J95" si="52">ABS(F88-AC$16)</f>
        <v>7.9166518951394926E-2</v>
      </c>
      <c r="K88" s="138">
        <f t="shared" ref="K88:K95" si="53">ABS(G88-AC$6)</f>
        <v>2.4947657799312406E-4</v>
      </c>
      <c r="L88" s="138">
        <f t="shared" ref="L88:L95" si="54">ABS(H88-AC$6)</f>
        <v>8.1218307829073189E-2</v>
      </c>
      <c r="M88" s="185">
        <f t="shared" ref="M88:M95" si="55">ABS(G88-AC$8)</f>
        <v>5.2542365851186934E-2</v>
      </c>
      <c r="O88" s="82">
        <f t="shared" si="45"/>
        <v>0.1341</v>
      </c>
      <c r="P88">
        <f t="shared" si="46"/>
        <v>702.15357905916972</v>
      </c>
      <c r="Q88" s="82">
        <f t="shared" si="48"/>
        <v>8.5304017684388667E-2</v>
      </c>
      <c r="R88" s="138">
        <f t="shared" ref="R88:R95" si="56">(P88/P68)^(1/20)-1</f>
        <v>8.4127943051104603E-2</v>
      </c>
      <c r="S88" s="137">
        <f t="shared" ref="S88:S95" si="57">ABS(Q88-AF$14)</f>
        <v>1.1627942382409662E-2</v>
      </c>
      <c r="T88" s="137">
        <f t="shared" ref="T88:T95" si="58">ABS(Q88-AF$15)</f>
        <v>4.5329755354384105E-4</v>
      </c>
      <c r="U88" s="137">
        <f t="shared" ref="U88:U95" si="59">ABS(Q88-AF$16)</f>
        <v>3.8449016247827927E-3</v>
      </c>
      <c r="V88" s="138">
        <f t="shared" ref="V88:V95" si="60">ABS(R88-AF$6)</f>
        <v>5.0978735371709494E-3</v>
      </c>
      <c r="W88" s="138">
        <f t="shared" ref="W88:W95" si="61">ABS(R88-AF$7)</f>
        <v>4.8743449454935472E-4</v>
      </c>
      <c r="X88" s="138">
        <f t="shared" ref="X88:X95" si="62">ABS(R88-AF$8)</f>
        <v>2.9472288071592523E-3</v>
      </c>
    </row>
    <row r="89" spans="1:24" ht="15.75" customHeight="1">
      <c r="A89" s="222">
        <v>86</v>
      </c>
      <c r="B89" s="684">
        <f>Investment!AQ92</f>
        <v>2013</v>
      </c>
      <c r="C89" s="685">
        <f>Investment!AT92/100</f>
        <v>0.32390000000000002</v>
      </c>
      <c r="D89" s="685">
        <f>Investment!AR92/100</f>
        <v>0.29600000000000004</v>
      </c>
      <c r="E89" s="574">
        <f t="shared" si="44"/>
        <v>3042.9012013095603</v>
      </c>
      <c r="F89" s="82">
        <f t="shared" si="47"/>
        <v>7.4027000574355517E-2</v>
      </c>
      <c r="G89" s="138">
        <f t="shared" si="49"/>
        <v>9.2185968187746603E-2</v>
      </c>
      <c r="H89" s="137">
        <f t="shared" si="50"/>
        <v>3.735094403706507E-3</v>
      </c>
      <c r="I89" s="137">
        <f t="shared" si="51"/>
        <v>7.5099570727258369E-3</v>
      </c>
      <c r="J89" s="137">
        <f t="shared" si="52"/>
        <v>7.6118102389746256E-2</v>
      </c>
      <c r="K89" s="138">
        <f t="shared" si="53"/>
        <v>1.0280982516615578E-2</v>
      </c>
      <c r="L89" s="138">
        <f t="shared" si="54"/>
        <v>7.8169891267424518E-2</v>
      </c>
      <c r="M89" s="185">
        <f t="shared" si="55"/>
        <v>4.251085991256448E-2</v>
      </c>
      <c r="O89" s="82">
        <f t="shared" si="45"/>
        <v>0.15</v>
      </c>
      <c r="P89">
        <f t="shared" si="46"/>
        <v>807.47661591804513</v>
      </c>
      <c r="Q89" s="82">
        <f t="shared" si="48"/>
        <v>8.5304017684388667E-2</v>
      </c>
      <c r="R89" s="138">
        <f t="shared" si="56"/>
        <v>8.8012959717052253E-2</v>
      </c>
      <c r="S89" s="137">
        <f t="shared" si="57"/>
        <v>1.1627942382409662E-2</v>
      </c>
      <c r="T89" s="137">
        <f t="shared" si="58"/>
        <v>4.5329755354384105E-4</v>
      </c>
      <c r="U89" s="137">
        <f t="shared" si="59"/>
        <v>3.8449016247827927E-3</v>
      </c>
      <c r="V89" s="138">
        <f t="shared" si="60"/>
        <v>8.9828902031185986E-3</v>
      </c>
      <c r="W89" s="138">
        <f t="shared" si="61"/>
        <v>4.372451160497004E-3</v>
      </c>
      <c r="X89" s="138">
        <f t="shared" si="62"/>
        <v>9.3778785878839699E-4</v>
      </c>
    </row>
    <row r="90" spans="1:24" ht="15.75" customHeight="1">
      <c r="A90" s="222">
        <v>87</v>
      </c>
      <c r="B90" s="684">
        <f>Investment!AQ93</f>
        <v>2014</v>
      </c>
      <c r="C90" s="685">
        <f>Investment!AT93/100</f>
        <v>0.13689999999999999</v>
      </c>
      <c r="D90" s="685">
        <f>Investment!AR93/100</f>
        <v>0.1139</v>
      </c>
      <c r="E90" s="574">
        <f t="shared" si="44"/>
        <v>3459.4743757688393</v>
      </c>
      <c r="F90" s="82">
        <f t="shared" si="47"/>
        <v>7.6718324729283749E-2</v>
      </c>
      <c r="G90" s="138">
        <f t="shared" si="49"/>
        <v>9.8494652041895669E-2</v>
      </c>
      <c r="H90" s="137">
        <f t="shared" si="50"/>
        <v>6.4264185586347389E-3</v>
      </c>
      <c r="I90" s="137">
        <f t="shared" si="51"/>
        <v>1.2012732185767705E-3</v>
      </c>
      <c r="J90" s="137">
        <f t="shared" si="52"/>
        <v>7.3426778234818024E-2</v>
      </c>
      <c r="K90" s="138">
        <f t="shared" si="53"/>
        <v>1.6589666370764644E-2</v>
      </c>
      <c r="L90" s="138">
        <f t="shared" si="54"/>
        <v>7.5478567112496286E-2</v>
      </c>
      <c r="M90" s="185">
        <f t="shared" si="55"/>
        <v>3.6202176058415414E-2</v>
      </c>
      <c r="O90" s="82">
        <f t="shared" si="45"/>
        <v>0.1139</v>
      </c>
      <c r="P90">
        <f t="shared" si="46"/>
        <v>899.44820247111056</v>
      </c>
      <c r="Q90" s="82">
        <f t="shared" si="48"/>
        <v>8.767054053636314E-2</v>
      </c>
      <c r="R90" s="138">
        <f t="shared" si="56"/>
        <v>9.3488263018227657E-2</v>
      </c>
      <c r="S90" s="137">
        <f t="shared" si="57"/>
        <v>1.3994465234384135E-2</v>
      </c>
      <c r="T90" s="137">
        <f t="shared" si="58"/>
        <v>2.819820405518314E-3</v>
      </c>
      <c r="U90" s="137">
        <f t="shared" si="59"/>
        <v>1.4783787728083198E-3</v>
      </c>
      <c r="V90" s="138">
        <f t="shared" si="60"/>
        <v>1.4458193504294004E-2</v>
      </c>
      <c r="W90" s="138">
        <f t="shared" si="61"/>
        <v>9.8477544616724089E-3</v>
      </c>
      <c r="X90" s="138">
        <f t="shared" si="62"/>
        <v>6.4130911599638019E-3</v>
      </c>
    </row>
    <row r="91" spans="1:24" ht="15.75" customHeight="1">
      <c r="A91" s="222">
        <v>88</v>
      </c>
      <c r="B91" s="684">
        <f>Investment!AQ94</f>
        <v>2015</v>
      </c>
      <c r="C91" s="685">
        <f>Investment!AT94/100</f>
        <v>1.38E-2</v>
      </c>
      <c r="D91" s="685">
        <f>Investment!AR94/100</f>
        <v>-7.3000000000000001E-3</v>
      </c>
      <c r="E91" s="574">
        <f t="shared" si="44"/>
        <v>3507.2151221544495</v>
      </c>
      <c r="F91" s="82">
        <f t="shared" si="47"/>
        <v>7.3039339821544313E-2</v>
      </c>
      <c r="G91" s="138">
        <f t="shared" si="49"/>
        <v>8.1851859818420136E-2</v>
      </c>
      <c r="H91" s="137">
        <f t="shared" si="50"/>
        <v>2.7474336508953034E-3</v>
      </c>
      <c r="I91" s="137">
        <f t="shared" si="51"/>
        <v>1.7844065442052304E-2</v>
      </c>
      <c r="J91" s="137">
        <f t="shared" si="52"/>
        <v>7.710576314255746E-2</v>
      </c>
      <c r="K91" s="138">
        <f t="shared" si="53"/>
        <v>5.3125852710889099E-5</v>
      </c>
      <c r="L91" s="138">
        <f t="shared" si="54"/>
        <v>7.9157552020235722E-2</v>
      </c>
      <c r="M91" s="185">
        <f t="shared" si="55"/>
        <v>5.2844968281890947E-2</v>
      </c>
      <c r="O91" s="82">
        <f t="shared" si="45"/>
        <v>7.4999999999999997E-3</v>
      </c>
      <c r="P91">
        <f t="shared" si="46"/>
        <v>906.19406398964395</v>
      </c>
      <c r="Q91" s="82">
        <f t="shared" si="48"/>
        <v>8.5270876755750402E-2</v>
      </c>
      <c r="R91" s="138">
        <f t="shared" si="56"/>
        <v>8.6279257119846298E-2</v>
      </c>
      <c r="S91" s="137">
        <f t="shared" si="57"/>
        <v>1.1594801453771397E-2</v>
      </c>
      <c r="T91" s="137">
        <f t="shared" si="58"/>
        <v>4.2015662490557659E-4</v>
      </c>
      <c r="U91" s="137">
        <f t="shared" si="59"/>
        <v>3.8780425534210572E-3</v>
      </c>
      <c r="V91" s="138">
        <f t="shared" si="60"/>
        <v>7.2491876059126437E-3</v>
      </c>
      <c r="W91" s="138">
        <f t="shared" si="61"/>
        <v>2.638748563291049E-3</v>
      </c>
      <c r="X91" s="138">
        <f t="shared" si="62"/>
        <v>7.95914738417558E-4</v>
      </c>
    </row>
    <row r="92" spans="1:24" ht="15.75" customHeight="1">
      <c r="A92" s="222">
        <v>89</v>
      </c>
      <c r="B92" s="684">
        <f>Investment!AQ95</f>
        <v>2016</v>
      </c>
      <c r="C92" s="685">
        <f>Investment!AT95/100</f>
        <v>0.11960000000000001</v>
      </c>
      <c r="D92" s="685">
        <f>Investment!AR95/100</f>
        <v>9.5399999999999985E-2</v>
      </c>
      <c r="E92" s="574">
        <f t="shared" si="44"/>
        <v>3926.6780507641215</v>
      </c>
      <c r="F92" s="82">
        <f t="shared" si="47"/>
        <v>6.9436070122944171E-2</v>
      </c>
      <c r="G92" s="138">
        <f t="shared" si="49"/>
        <v>7.6794299566897983E-2</v>
      </c>
      <c r="H92" s="137">
        <f t="shared" si="50"/>
        <v>8.5583604770483879E-4</v>
      </c>
      <c r="I92" s="137">
        <f t="shared" si="51"/>
        <v>2.2901625693574457E-2</v>
      </c>
      <c r="J92" s="137">
        <f t="shared" si="52"/>
        <v>8.0709032841157602E-2</v>
      </c>
      <c r="K92" s="138">
        <f t="shared" si="53"/>
        <v>5.110686104233042E-3</v>
      </c>
      <c r="L92" s="138">
        <f t="shared" si="54"/>
        <v>8.1049149623426187E-2</v>
      </c>
      <c r="M92" s="185">
        <f t="shared" si="55"/>
        <v>5.79025285334131E-2</v>
      </c>
      <c r="O92" s="82">
        <f t="shared" si="45"/>
        <v>9.5399999999999985E-2</v>
      </c>
      <c r="P92">
        <f t="shared" si="46"/>
        <v>992.64497769425589</v>
      </c>
      <c r="Q92" s="82">
        <f t="shared" si="48"/>
        <v>8.1309314447999714E-2</v>
      </c>
      <c r="R92" s="138">
        <f t="shared" si="56"/>
        <v>8.3640508556555249E-2</v>
      </c>
      <c r="S92" s="137">
        <f t="shared" si="57"/>
        <v>7.6332391460207094E-3</v>
      </c>
      <c r="T92" s="137">
        <f t="shared" si="58"/>
        <v>3.5414056828451113E-3</v>
      </c>
      <c r="U92" s="137">
        <f t="shared" si="59"/>
        <v>7.839604861171745E-3</v>
      </c>
      <c r="V92" s="138">
        <f t="shared" si="60"/>
        <v>4.6104390426215947E-3</v>
      </c>
      <c r="W92" s="138">
        <f t="shared" si="61"/>
        <v>0</v>
      </c>
      <c r="X92" s="138">
        <f t="shared" si="62"/>
        <v>3.434663301708607E-3</v>
      </c>
    </row>
    <row r="93" spans="1:24" ht="15.75" customHeight="1">
      <c r="A93" s="222">
        <v>90</v>
      </c>
      <c r="B93" s="684">
        <f>Investment!AQ96</f>
        <v>2017</v>
      </c>
      <c r="C93" s="685">
        <f>Investment!AT96/100</f>
        <v>0.21829999999999999</v>
      </c>
      <c r="D93" s="685">
        <f>Investment!AR96/100</f>
        <v>0.19420000000000001</v>
      </c>
      <c r="E93" s="574">
        <f>E92*(1+C93)</f>
        <v>4783.8718692459288</v>
      </c>
      <c r="F93" s="82">
        <f>(E93/E83)^(1/10)-1</f>
        <v>8.4948498602287481E-2</v>
      </c>
      <c r="G93" s="138">
        <f>(E93/E73)^(1/20)-1</f>
        <v>7.1936799935017559E-2</v>
      </c>
      <c r="H93" s="137">
        <f t="shared" si="50"/>
        <v>1.4656592431638471E-2</v>
      </c>
      <c r="I93" s="137">
        <f t="shared" si="51"/>
        <v>2.7759125325454881E-2</v>
      </c>
      <c r="J93" s="137">
        <f t="shared" si="52"/>
        <v>6.5196604361814292E-2</v>
      </c>
      <c r="K93" s="138">
        <f t="shared" si="53"/>
        <v>9.9681857361134663E-3</v>
      </c>
      <c r="L93" s="138">
        <f t="shared" si="54"/>
        <v>6.7248393239492554E-2</v>
      </c>
      <c r="M93" s="185">
        <f t="shared" si="55"/>
        <v>6.2760028165293524E-2</v>
      </c>
      <c r="O93" s="82">
        <f t="shared" si="45"/>
        <v>0.15</v>
      </c>
      <c r="P93">
        <f>P92*(1+O93)</f>
        <v>1141.5417243483942</v>
      </c>
      <c r="Q93" s="82">
        <f>(P93/P83)^(1/10)-1</f>
        <v>9.2730604460128818E-2</v>
      </c>
      <c r="R93" s="138">
        <f t="shared" si="56"/>
        <v>8.3640508556555249E-2</v>
      </c>
      <c r="S93" s="137">
        <f t="shared" si="57"/>
        <v>1.9054529158149813E-2</v>
      </c>
      <c r="T93" s="137">
        <f t="shared" si="58"/>
        <v>7.8798843292839926E-3</v>
      </c>
      <c r="U93" s="137">
        <f t="shared" si="59"/>
        <v>3.5816851509573588E-3</v>
      </c>
      <c r="V93" s="138">
        <f t="shared" si="60"/>
        <v>4.6104390426215947E-3</v>
      </c>
      <c r="W93" s="138">
        <f t="shared" si="61"/>
        <v>0</v>
      </c>
      <c r="X93" s="138">
        <f t="shared" si="62"/>
        <v>3.434663301708607E-3</v>
      </c>
    </row>
    <row r="94" spans="1:24" ht="15.75" customHeight="1">
      <c r="A94" s="222">
        <v>91</v>
      </c>
      <c r="B94" s="684">
        <f>Investment!AQ97</f>
        <v>2018</v>
      </c>
      <c r="C94" s="685">
        <f>Investment!AT97/100</f>
        <v>-4.3799999999999999E-2</v>
      </c>
      <c r="D94" s="685">
        <f>Investment!AR97/100</f>
        <v>-6.2400000000000004E-2</v>
      </c>
      <c r="E94" s="574">
        <f t="shared" ref="E94:E95" si="63">E93*(1+C94)</f>
        <v>4574.3382813729577</v>
      </c>
      <c r="F94" s="82">
        <f t="shared" ref="F94:F95" si="64">(E94/E84)^(1/10)-1</f>
        <v>0.13117537479098207</v>
      </c>
      <c r="G94" s="138">
        <f t="shared" ref="G94:G95" si="65">(E94/E74)^(1/20)-1</f>
        <v>5.6180017476190836E-2</v>
      </c>
      <c r="H94" s="137">
        <f t="shared" si="50"/>
        <v>6.0883468620333059E-2</v>
      </c>
      <c r="I94" s="137">
        <f t="shared" si="51"/>
        <v>4.3515907784281604E-2</v>
      </c>
      <c r="J94" s="137">
        <f t="shared" si="52"/>
        <v>1.8969728173119704E-2</v>
      </c>
      <c r="K94" s="138">
        <f t="shared" si="53"/>
        <v>2.572496819494019E-2</v>
      </c>
      <c r="L94" s="138">
        <f t="shared" si="54"/>
        <v>2.1021517050797967E-2</v>
      </c>
      <c r="M94" s="185">
        <f t="shared" si="55"/>
        <v>7.8516810624120248E-2</v>
      </c>
      <c r="O94" s="82">
        <f t="shared" si="45"/>
        <v>7.4999999999999997E-3</v>
      </c>
      <c r="P94">
        <f t="shared" ref="P94:P95" si="66">P93*(1+O94)</f>
        <v>1150.1032872810072</v>
      </c>
      <c r="Q94" s="82">
        <f t="shared" ref="Q94:Q95" si="67">(P94/P84)^(1/10)-1</f>
        <v>9.2730604460128818E-2</v>
      </c>
      <c r="R94" s="138">
        <f t="shared" si="56"/>
        <v>7.6496425641255694E-2</v>
      </c>
      <c r="S94" s="137">
        <f t="shared" si="57"/>
        <v>1.9054529158149813E-2</v>
      </c>
      <c r="T94" s="137">
        <f t="shared" si="58"/>
        <v>7.8798843292839926E-3</v>
      </c>
      <c r="U94" s="137">
        <f t="shared" si="59"/>
        <v>3.5816851509573588E-3</v>
      </c>
      <c r="V94" s="138">
        <f t="shared" si="60"/>
        <v>2.5336438726779598E-3</v>
      </c>
      <c r="W94" s="138">
        <f t="shared" si="61"/>
        <v>7.1440829152995544E-3</v>
      </c>
      <c r="X94" s="138">
        <f t="shared" si="62"/>
        <v>1.0578746217008161E-2</v>
      </c>
    </row>
    <row r="95" spans="1:24" ht="15.75" customHeight="1">
      <c r="A95" s="222">
        <v>92</v>
      </c>
      <c r="B95" s="684">
        <f>Investment!AQ98</f>
        <v>2019</v>
      </c>
      <c r="C95" s="685">
        <f>Investment!AT98/100</f>
        <v>0.31489999999999996</v>
      </c>
      <c r="D95" s="685">
        <f>Investment!AR98/100</f>
        <v>0.2888</v>
      </c>
      <c r="E95" s="574">
        <f t="shared" si="63"/>
        <v>6014.797406177302</v>
      </c>
      <c r="F95" s="82">
        <f t="shared" si="64"/>
        <v>0.1355961119968816</v>
      </c>
      <c r="G95" s="138">
        <f t="shared" si="65"/>
        <v>6.0562182658992159E-2</v>
      </c>
      <c r="H95" s="137">
        <f t="shared" si="50"/>
        <v>6.5304205826232586E-2</v>
      </c>
      <c r="I95" s="137">
        <f t="shared" si="51"/>
        <v>3.9133742601480281E-2</v>
      </c>
      <c r="J95" s="137">
        <f t="shared" si="52"/>
        <v>1.4548990967220177E-2</v>
      </c>
      <c r="K95" s="138">
        <f t="shared" si="53"/>
        <v>2.1342803012138867E-2</v>
      </c>
      <c r="L95" s="138">
        <f t="shared" si="54"/>
        <v>1.6600779844898439E-2</v>
      </c>
      <c r="M95" s="185">
        <f t="shared" si="55"/>
        <v>7.4134645441318925E-2</v>
      </c>
      <c r="O95" s="82">
        <f t="shared" si="45"/>
        <v>0.15</v>
      </c>
      <c r="P95">
        <f t="shared" si="66"/>
        <v>1322.6187803731582</v>
      </c>
      <c r="Q95" s="82">
        <f t="shared" si="67"/>
        <v>9.2730604460128818E-2</v>
      </c>
      <c r="R95" s="138">
        <f t="shared" si="56"/>
        <v>7.6496425641255694E-2</v>
      </c>
      <c r="S95" s="137">
        <f t="shared" si="57"/>
        <v>1.9054529158149813E-2</v>
      </c>
      <c r="T95" s="137">
        <f t="shared" si="58"/>
        <v>7.8798843292839926E-3</v>
      </c>
      <c r="U95" s="137">
        <f t="shared" si="59"/>
        <v>3.5816851509573588E-3</v>
      </c>
      <c r="V95" s="138">
        <f t="shared" si="60"/>
        <v>2.5336438726779598E-3</v>
      </c>
      <c r="W95" s="138">
        <f t="shared" si="61"/>
        <v>7.1440829152995544E-3</v>
      </c>
      <c r="X95" s="138">
        <f t="shared" si="62"/>
        <v>1.0578746217008161E-2</v>
      </c>
    </row>
    <row r="96" spans="1:24" ht="15.75" customHeight="1">
      <c r="A96" s="222">
        <v>93</v>
      </c>
      <c r="B96" s="684">
        <f>Investment!AQ99</f>
        <v>2020</v>
      </c>
      <c r="C96" s="685">
        <f>Investment!AT99/100</f>
        <v>0.184</v>
      </c>
      <c r="D96" s="685">
        <f>Investment!AR99/100</f>
        <v>0.16260000000000002</v>
      </c>
      <c r="E96" s="574">
        <f t="shared" ref="E96" si="68">E95*(1+C96)</f>
        <v>7121.520128913925</v>
      </c>
      <c r="F96" s="82">
        <f t="shared" ref="F96" si="69">(E96/E86)^(1/10)-1</f>
        <v>0.13885027291980845</v>
      </c>
      <c r="G96" s="138">
        <f t="shared" ref="G96" si="70">(E96/E76)^(1/20)-1</f>
        <v>7.4670996097283115E-2</v>
      </c>
      <c r="H96" s="137">
        <f t="shared" ref="H96" si="71">ABS(F96-AC$14)</f>
        <v>6.8558366749159438E-2</v>
      </c>
      <c r="I96" s="137">
        <f t="shared" ref="I96" si="72">ABS(G96-AC$15)</f>
        <v>2.5024929163189324E-2</v>
      </c>
      <c r="J96" s="137">
        <f t="shared" ref="J96" si="73">ABS(F96-AC$16)</f>
        <v>1.1294830044293325E-2</v>
      </c>
      <c r="K96" s="138">
        <f t="shared" ref="K96" si="74">ABS(G96-AC$6)</f>
        <v>7.2339895738479099E-3</v>
      </c>
      <c r="L96" s="138">
        <f t="shared" ref="L96" si="75">ABS(H96-AC$6)</f>
        <v>1.3346618921971587E-2</v>
      </c>
      <c r="M96" s="185">
        <f t="shared" ref="M96" si="76">ABS(G96-AC$8)</f>
        <v>6.0025832003027968E-2</v>
      </c>
      <c r="O96" s="82">
        <f t="shared" si="45"/>
        <v>0.15</v>
      </c>
      <c r="P96">
        <f t="shared" ref="P96" si="77">P95*(1+O96)</f>
        <v>1521.0115974291318</v>
      </c>
      <c r="Q96" s="82">
        <f t="shared" ref="Q96" si="78">(P96/P86)^(1/10)-1</f>
        <v>9.4862753681530965E-2</v>
      </c>
      <c r="R96" s="138">
        <f t="shared" ref="R96" si="79">(P96/P76)^(1/20)-1</f>
        <v>8.3640508556555249E-2</v>
      </c>
    </row>
    <row r="97" spans="1:18" ht="15.75" customHeight="1">
      <c r="A97" s="222"/>
      <c r="B97" s="684"/>
      <c r="C97" s="685"/>
      <c r="D97" s="685"/>
      <c r="G97" s="138"/>
      <c r="K97" s="138"/>
      <c r="L97" s="138"/>
      <c r="M97" s="185"/>
      <c r="R97" s="138"/>
    </row>
    <row r="98" spans="1:18" ht="15.75" customHeight="1">
      <c r="A98" s="222"/>
      <c r="B98" s="684"/>
      <c r="C98" s="685"/>
      <c r="D98" s="685"/>
      <c r="G98" s="138"/>
      <c r="K98" s="138"/>
      <c r="L98" s="138"/>
      <c r="M98" s="185"/>
      <c r="R98" s="138"/>
    </row>
    <row r="99" spans="1:18" ht="15.75" customHeight="1">
      <c r="A99" s="222"/>
      <c r="B99" s="689"/>
      <c r="C99" s="222"/>
      <c r="D99" s="222"/>
    </row>
    <row r="100" spans="1:18" ht="15.75" customHeight="1">
      <c r="A100" s="222"/>
      <c r="B100" s="689"/>
      <c r="C100" s="222"/>
      <c r="D100" s="222"/>
    </row>
  </sheetData>
  <mergeCells count="10">
    <mergeCell ref="AM3:AN3"/>
    <mergeCell ref="AM2:AN2"/>
    <mergeCell ref="AP2:AQ2"/>
    <mergeCell ref="AA3:AC3"/>
    <mergeCell ref="AD3:AF3"/>
    <mergeCell ref="AA11:AC11"/>
    <mergeCell ref="AD11:AF11"/>
    <mergeCell ref="Z3:Z4"/>
    <mergeCell ref="Z11:Z12"/>
    <mergeCell ref="AJ2:AL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55"/>
  <sheetViews>
    <sheetView tabSelected="1" zoomScaleNormal="100" workbookViewId="0">
      <selection activeCell="B22" sqref="B22:I22"/>
    </sheetView>
  </sheetViews>
  <sheetFormatPr defaultRowHeight="15.6"/>
  <cols>
    <col min="1" max="1" width="1.33203125" customWidth="1"/>
    <col min="2" max="2" width="11.5546875" bestFit="1" customWidth="1"/>
    <col min="5" max="5" width="12.5546875" bestFit="1" customWidth="1"/>
    <col min="6" max="6" width="10.5546875" customWidth="1"/>
    <col min="7" max="7" width="9.6640625" bestFit="1" customWidth="1"/>
    <col min="8" max="8" width="9.44140625" customWidth="1"/>
    <col min="9" max="9" width="13" customWidth="1"/>
    <col min="10" max="10" width="4.88671875" customWidth="1"/>
    <col min="11" max="11" width="6.6640625" style="127" customWidth="1"/>
    <col min="12" max="12" width="8.33203125" style="128" customWidth="1"/>
    <col min="13" max="13" width="9.6640625" style="127" customWidth="1"/>
    <col min="14" max="14" width="10.44140625" style="126" customWidth="1"/>
    <col min="15" max="15" width="11.5546875" style="127" customWidth="1"/>
    <col min="16" max="16" width="12" style="476" customWidth="1"/>
    <col min="17" max="19" width="9.33203125" style="2" customWidth="1"/>
    <col min="20" max="20" width="17.5546875" style="2" customWidth="1"/>
    <col min="21" max="21" width="20.33203125" style="2" customWidth="1"/>
    <col min="22" max="22" width="7.5546875" style="2" customWidth="1"/>
    <col min="23" max="24" width="9.33203125" style="2" customWidth="1"/>
    <col min="25" max="25" width="15.33203125" style="2" customWidth="1"/>
    <col min="26" max="26" width="17.33203125" style="2" customWidth="1"/>
  </cols>
  <sheetData>
    <row r="1" spans="1:26" ht="16.2" thickBot="1"/>
    <row r="2" spans="1:26" ht="16.2" thickBot="1">
      <c r="D2" s="814" t="s">
        <v>35</v>
      </c>
      <c r="E2" s="815"/>
      <c r="F2" s="815"/>
      <c r="G2" s="815"/>
      <c r="H2" s="815"/>
      <c r="I2" s="816"/>
      <c r="K2" s="882" t="s">
        <v>3698</v>
      </c>
      <c r="L2" s="883"/>
      <c r="M2" s="883"/>
      <c r="N2" s="883"/>
      <c r="O2" s="639">
        <f>F15</f>
        <v>0</v>
      </c>
      <c r="P2" s="636" t="s">
        <v>3694</v>
      </c>
    </row>
    <row r="3" spans="1:26" ht="16.2" thickBot="1">
      <c r="D3" s="817"/>
      <c r="E3" s="818"/>
      <c r="F3" s="818"/>
      <c r="G3" s="818"/>
      <c r="H3" s="818"/>
      <c r="I3" s="819"/>
      <c r="K3" s="759" t="s">
        <v>78</v>
      </c>
      <c r="L3" s="760"/>
      <c r="M3" s="760"/>
      <c r="N3" s="760"/>
      <c r="O3" s="694">
        <v>1991</v>
      </c>
      <c r="P3" s="637">
        <f>IF(G21&lt;1900,G21/100,8%)</f>
        <v>0.08</v>
      </c>
    </row>
    <row r="4" spans="1:26" ht="16.2" thickBot="1">
      <c r="B4" s="9"/>
      <c r="C4" s="9"/>
      <c r="D4" s="822" t="s">
        <v>36</v>
      </c>
      <c r="E4" s="822"/>
      <c r="F4" s="822"/>
      <c r="G4" s="822"/>
      <c r="H4" s="822"/>
      <c r="I4" s="822"/>
      <c r="K4" s="72" t="s">
        <v>3</v>
      </c>
      <c r="L4" s="129" t="s">
        <v>5</v>
      </c>
      <c r="M4" s="73" t="s">
        <v>1</v>
      </c>
      <c r="N4" s="130" t="s">
        <v>42</v>
      </c>
      <c r="O4" s="638" t="s">
        <v>2</v>
      </c>
      <c r="P4" s="287" t="s">
        <v>3695</v>
      </c>
      <c r="Q4" s="65"/>
      <c r="R4" s="65"/>
      <c r="S4" s="65"/>
      <c r="T4" s="65"/>
      <c r="U4" s="65"/>
      <c r="V4" s="65"/>
      <c r="W4" s="65"/>
      <c r="X4" s="65"/>
      <c r="Y4" s="65"/>
      <c r="Z4" s="65"/>
    </row>
    <row r="5" spans="1:26" s="46" customFormat="1">
      <c r="A5" s="45"/>
      <c r="B5" s="794" t="s">
        <v>37</v>
      </c>
      <c r="C5" s="795"/>
      <c r="D5" s="795"/>
      <c r="E5" s="795"/>
      <c r="F5" s="795"/>
      <c r="G5" s="795"/>
      <c r="H5" s="795"/>
      <c r="I5" s="796"/>
      <c r="K5" s="621">
        <v>1</v>
      </c>
      <c r="L5" s="131">
        <f>O3</f>
        <v>1991</v>
      </c>
      <c r="M5" s="622">
        <f>IF($O$3&gt;0,LOOKUP($O$3+K5-1,Investment!AQ7:AQ107,Investment!AT7:AT107)/100,11%)</f>
        <v>0.30469999999999997</v>
      </c>
      <c r="N5" s="623">
        <f>((B$17+B$18) * MAX(MIN(12, E$24-(K5-1)*12),0)- F$17 * MAX(MIN(12, I$24-(K5-1)*12),0) )/12</f>
        <v>1487.2620237969832</v>
      </c>
      <c r="O5" s="624">
        <f>FV((1+M5)^(1/12)-1,12,-N5,-O2)</f>
        <v>20220.020522772425</v>
      </c>
      <c r="P5" s="618">
        <f>FV((1+P$3)^(1/12)-1,12,-N5,-O2)</f>
        <v>18492.447170673095</v>
      </c>
      <c r="Q5" s="12"/>
      <c r="R5" s="12"/>
      <c r="S5" s="12"/>
      <c r="T5" s="12"/>
      <c r="U5" s="12"/>
      <c r="V5" s="12"/>
      <c r="W5" s="11"/>
      <c r="X5" s="11"/>
      <c r="Y5" s="11"/>
      <c r="Z5" s="11"/>
    </row>
    <row r="6" spans="1:26" s="46" customFormat="1">
      <c r="A6" s="45"/>
      <c r="B6" s="797" t="s">
        <v>38</v>
      </c>
      <c r="C6" s="798"/>
      <c r="D6" s="798"/>
      <c r="E6" s="798"/>
      <c r="F6" s="798"/>
      <c r="G6" s="798"/>
      <c r="H6" s="801">
        <v>800000</v>
      </c>
      <c r="I6" s="802"/>
      <c r="K6" s="625">
        <v>2</v>
      </c>
      <c r="L6" s="132">
        <f>L5+1</f>
        <v>1992</v>
      </c>
      <c r="M6" s="622">
        <f>IF($O$3&gt;0,LOOKUP($O$3+K6-1,Investment!AQ8:AQ108,Investment!AT8:AT108)/100,11%)</f>
        <v>7.6200000000000004E-2</v>
      </c>
      <c r="N6" s="623">
        <f t="shared" ref="N5:N34" si="0">((B$17+B$18) * MAX(MIN(12, E$24-(K6-1)*12),0)- F$17 * MAX(MIN(12, I$24-(K6-1)*12),0) )/12</f>
        <v>1487.2620237969832</v>
      </c>
      <c r="O6" s="626">
        <f t="shared" ref="O6:O34" si="1">FV((1+M6)^(1/12)-1,12,-N6,-O5)</f>
        <v>40222.977937945921</v>
      </c>
      <c r="P6" s="619">
        <f>FV((1+P$3)^(1/12)-1,12,-N6,-P5)</f>
        <v>38464.290115000033</v>
      </c>
      <c r="Q6" s="12"/>
      <c r="R6" s="12"/>
      <c r="S6" s="12"/>
      <c r="T6" s="12"/>
      <c r="U6" s="12"/>
      <c r="V6" s="12"/>
      <c r="W6" s="11"/>
      <c r="X6" s="11"/>
      <c r="Y6" s="11"/>
      <c r="Z6" s="11"/>
    </row>
    <row r="7" spans="1:26" s="46" customFormat="1">
      <c r="A7" s="45"/>
      <c r="B7" s="797" t="s">
        <v>39</v>
      </c>
      <c r="C7" s="798"/>
      <c r="D7" s="798"/>
      <c r="E7" s="798"/>
      <c r="F7" s="798"/>
      <c r="G7" s="798"/>
      <c r="H7" s="801">
        <v>200000</v>
      </c>
      <c r="I7" s="802"/>
      <c r="K7" s="625">
        <v>3</v>
      </c>
      <c r="L7" s="132">
        <f t="shared" ref="L7:L34" si="2">L6+1</f>
        <v>1993</v>
      </c>
      <c r="M7" s="622">
        <f>IF($O$3&gt;0,LOOKUP($O$3+K7-1,Investment!AQ9:AQ109,Investment!AT9:AT109)/100,11%)</f>
        <v>0.1008</v>
      </c>
      <c r="N7" s="623">
        <f t="shared" si="0"/>
        <v>1487.2620237969832</v>
      </c>
      <c r="O7" s="626">
        <f t="shared" si="1"/>
        <v>62934.841148692576</v>
      </c>
      <c r="P7" s="619">
        <f t="shared" ref="P7:P34" si="3">FV((1+P$3)^(1/12)-1,12,-N7,-P6)</f>
        <v>60033.880494873127</v>
      </c>
      <c r="Q7" s="12"/>
      <c r="R7" s="12"/>
      <c r="S7" s="12"/>
      <c r="T7" s="12"/>
      <c r="U7" s="12"/>
      <c r="V7" s="12"/>
      <c r="W7" s="11"/>
      <c r="X7" s="11"/>
      <c r="Y7" s="11"/>
      <c r="Z7" s="11"/>
    </row>
    <row r="8" spans="1:26" s="46" customFormat="1" ht="16.2" thickBot="1">
      <c r="A8" s="45"/>
      <c r="B8" s="799" t="s">
        <v>40</v>
      </c>
      <c r="C8" s="800"/>
      <c r="D8" s="800"/>
      <c r="E8" s="800"/>
      <c r="F8" s="800"/>
      <c r="G8" s="800"/>
      <c r="H8" s="827">
        <v>0.33</v>
      </c>
      <c r="I8" s="828"/>
      <c r="K8" s="625">
        <v>4</v>
      </c>
      <c r="L8" s="132">
        <f t="shared" si="2"/>
        <v>1994</v>
      </c>
      <c r="M8" s="622">
        <f>IF($O$3&gt;0,LOOKUP($O$3+K8-1,Investment!AQ10:AQ110,Investment!AT10:AT110)/100,11%)</f>
        <v>1.32E-2</v>
      </c>
      <c r="N8" s="623">
        <f t="shared" si="0"/>
        <v>1487.2620237969832</v>
      </c>
      <c r="O8" s="626">
        <f t="shared" si="1"/>
        <v>81720.444903787604</v>
      </c>
      <c r="P8" s="619">
        <f t="shared" si="3"/>
        <v>83329.03810513606</v>
      </c>
      <c r="Q8" s="12"/>
      <c r="R8" s="12"/>
      <c r="S8" s="12"/>
      <c r="T8" s="12"/>
      <c r="U8" s="12"/>
      <c r="V8" s="12"/>
      <c r="W8" s="11"/>
      <c r="X8" s="11"/>
      <c r="Y8" s="11"/>
      <c r="Z8" s="11"/>
    </row>
    <row r="9" spans="1:26" ht="19.2" customHeight="1" thickBot="1">
      <c r="A9" s="7"/>
      <c r="B9" s="786" t="s">
        <v>41</v>
      </c>
      <c r="C9" s="787"/>
      <c r="D9" s="787"/>
      <c r="E9" s="788"/>
      <c r="F9" s="786" t="s">
        <v>42</v>
      </c>
      <c r="G9" s="787"/>
      <c r="H9" s="787"/>
      <c r="I9" s="788"/>
      <c r="K9" s="627">
        <v>5</v>
      </c>
      <c r="L9" s="132">
        <f t="shared" si="2"/>
        <v>1995</v>
      </c>
      <c r="M9" s="622">
        <f>IF($O$3&gt;0,LOOKUP($O$3+K9-1,Investment!AQ11:AQ111,Investment!AT11:AT111)/100,11%)</f>
        <v>0.37579999999999997</v>
      </c>
      <c r="N9" s="623">
        <f t="shared" si="0"/>
        <v>1487.2620237969832</v>
      </c>
      <c r="O9" s="626">
        <f t="shared" si="1"/>
        <v>133175.38124612812</v>
      </c>
      <c r="P9" s="619">
        <f t="shared" si="3"/>
        <v>108487.80832422004</v>
      </c>
      <c r="Q9" s="14"/>
      <c r="R9" s="14"/>
      <c r="S9" s="14"/>
      <c r="T9" s="14"/>
      <c r="U9" s="14"/>
      <c r="V9" s="14"/>
      <c r="W9" s="13"/>
      <c r="X9" s="13"/>
      <c r="Y9" s="13"/>
      <c r="Z9" s="13"/>
    </row>
    <row r="10" spans="1:26" ht="18" customHeight="1">
      <c r="A10" s="7"/>
      <c r="B10" s="833" t="s">
        <v>43</v>
      </c>
      <c r="C10" s="834"/>
      <c r="D10" s="834"/>
      <c r="E10" s="835"/>
      <c r="F10" s="833" t="s">
        <v>44</v>
      </c>
      <c r="G10" s="834"/>
      <c r="H10" s="834"/>
      <c r="I10" s="835"/>
      <c r="K10" s="625">
        <v>6</v>
      </c>
      <c r="L10" s="132">
        <f t="shared" si="2"/>
        <v>1996</v>
      </c>
      <c r="M10" s="622">
        <f>IF($O$3&gt;0,LOOKUP($O$3+K10-1,Investment!AQ12:AQ112,Investment!AT12:AT112)/100,11%)</f>
        <v>0.2296</v>
      </c>
      <c r="N10" s="623">
        <f t="shared" si="0"/>
        <v>1487.2620237969832</v>
      </c>
      <c r="O10" s="626">
        <f t="shared" si="1"/>
        <v>183407.66871063961</v>
      </c>
      <c r="P10" s="619">
        <f t="shared" si="3"/>
        <v>135659.28016083071</v>
      </c>
      <c r="Q10" s="4"/>
      <c r="R10" s="4"/>
      <c r="S10" s="4"/>
      <c r="T10" s="4"/>
      <c r="U10" s="4"/>
      <c r="V10" s="4"/>
      <c r="W10" s="3"/>
      <c r="X10" s="3"/>
      <c r="Y10" s="3"/>
      <c r="Z10" s="3"/>
    </row>
    <row r="11" spans="1:26" ht="16.2" customHeight="1" thickBot="1">
      <c r="A11" s="7"/>
      <c r="B11" s="836"/>
      <c r="C11" s="837"/>
      <c r="D11" s="837"/>
      <c r="E11" s="838"/>
      <c r="F11" s="836"/>
      <c r="G11" s="837"/>
      <c r="H11" s="837"/>
      <c r="I11" s="838"/>
      <c r="K11" s="625">
        <v>7</v>
      </c>
      <c r="L11" s="132">
        <f t="shared" si="2"/>
        <v>1997</v>
      </c>
      <c r="M11" s="622">
        <f>IF($O$3&gt;0,LOOKUP($O$3+K11-1,Investment!AQ13:AQ113,Investment!AT13:AT113)/100,11%)</f>
        <v>0.33360000000000001</v>
      </c>
      <c r="N11" s="623">
        <f t="shared" si="0"/>
        <v>1487.2620237969832</v>
      </c>
      <c r="O11" s="626">
        <f t="shared" si="1"/>
        <v>265026.79557034309</v>
      </c>
      <c r="P11" s="619">
        <f t="shared" si="3"/>
        <v>165004.46974437023</v>
      </c>
      <c r="Q11" s="4"/>
      <c r="R11" s="4"/>
      <c r="S11" s="4"/>
      <c r="T11" s="4"/>
      <c r="U11" s="4"/>
      <c r="V11" s="4"/>
      <c r="W11" s="3"/>
      <c r="X11" s="3"/>
      <c r="Y11" s="3"/>
      <c r="Z11" s="3"/>
    </row>
    <row r="12" spans="1:26">
      <c r="A12" s="7"/>
      <c r="B12" s="47">
        <v>15</v>
      </c>
      <c r="C12" s="829" t="s">
        <v>45</v>
      </c>
      <c r="D12" s="829"/>
      <c r="E12" s="830"/>
      <c r="F12" s="48">
        <v>30</v>
      </c>
      <c r="G12" s="804" t="s">
        <v>45</v>
      </c>
      <c r="H12" s="804"/>
      <c r="I12" s="805"/>
      <c r="K12" s="625">
        <v>8</v>
      </c>
      <c r="L12" s="132">
        <f t="shared" si="2"/>
        <v>1998</v>
      </c>
      <c r="M12" s="622">
        <f>IF($O$3&gt;0,LOOKUP($O$3+K12-1,Investment!AQ14:AQ114,Investment!AT14:AT114)/100,11%)</f>
        <v>0.2858</v>
      </c>
      <c r="N12" s="623">
        <f t="shared" si="0"/>
        <v>1487.2620237969832</v>
      </c>
      <c r="O12" s="626">
        <f t="shared" si="1"/>
        <v>360850.42767692835</v>
      </c>
      <c r="P12" s="619">
        <f t="shared" si="3"/>
        <v>196697.27449459292</v>
      </c>
      <c r="Q12" s="4"/>
      <c r="R12" s="4"/>
      <c r="S12" s="4"/>
      <c r="T12" s="4"/>
      <c r="U12" s="4"/>
      <c r="V12" s="4"/>
      <c r="W12" s="3"/>
      <c r="X12" s="3"/>
      <c r="Y12" s="3"/>
      <c r="Z12" s="3"/>
    </row>
    <row r="13" spans="1:26">
      <c r="A13" s="7"/>
      <c r="B13" s="70">
        <v>2.5000000000000001E-2</v>
      </c>
      <c r="C13" s="823" t="s">
        <v>46</v>
      </c>
      <c r="D13" s="823"/>
      <c r="E13" s="824"/>
      <c r="F13" s="70">
        <v>2.9499999999999998E-2</v>
      </c>
      <c r="G13" s="823" t="s">
        <v>47</v>
      </c>
      <c r="H13" s="823"/>
      <c r="I13" s="824"/>
      <c r="K13" s="625">
        <v>9</v>
      </c>
      <c r="L13" s="132">
        <f t="shared" si="2"/>
        <v>1999</v>
      </c>
      <c r="M13" s="622">
        <f>IF($O$3&gt;0,LOOKUP($O$3+K13-1,Investment!AQ15:AQ115,Investment!AT15:AT115)/100,11%)</f>
        <v>0.2104</v>
      </c>
      <c r="N13" s="623">
        <f t="shared" si="0"/>
        <v>1487.2620237969832</v>
      </c>
      <c r="O13" s="626">
        <f t="shared" si="1"/>
        <v>456282.26044786948</v>
      </c>
      <c r="P13" s="619">
        <f t="shared" si="3"/>
        <v>230925.50362483339</v>
      </c>
      <c r="Q13" s="4"/>
      <c r="R13" s="4"/>
      <c r="S13" s="4"/>
      <c r="T13" s="4"/>
      <c r="U13" s="4"/>
      <c r="V13" s="4"/>
      <c r="W13" s="3"/>
      <c r="X13" s="3"/>
      <c r="Y13" s="3"/>
      <c r="Z13" s="3"/>
    </row>
    <row r="14" spans="1:26">
      <c r="A14" s="7"/>
      <c r="B14" s="49">
        <f>H7</f>
        <v>200000</v>
      </c>
      <c r="C14" s="804" t="s">
        <v>48</v>
      </c>
      <c r="D14" s="804"/>
      <c r="E14" s="805"/>
      <c r="F14" s="50">
        <v>200000</v>
      </c>
      <c r="G14" s="823" t="s">
        <v>49</v>
      </c>
      <c r="H14" s="823"/>
      <c r="I14" s="824"/>
      <c r="K14" s="627">
        <v>10</v>
      </c>
      <c r="L14" s="132">
        <f t="shared" si="2"/>
        <v>2000</v>
      </c>
      <c r="M14" s="622">
        <f>IF($O$3&gt;0,LOOKUP($O$3+K14-1,Investment!AQ16:AQ116,Investment!AT16:AT116)/100,11%)</f>
        <v>-9.0999999999999998E-2</v>
      </c>
      <c r="N14" s="623">
        <f t="shared" si="0"/>
        <v>1487.2620237969832</v>
      </c>
      <c r="O14" s="626">
        <f t="shared" si="1"/>
        <v>431850.52312629978</v>
      </c>
      <c r="P14" s="619">
        <f t="shared" si="3"/>
        <v>267891.99108549312</v>
      </c>
      <c r="Q14" s="5"/>
      <c r="R14" s="5"/>
      <c r="S14" s="5"/>
      <c r="T14" s="5"/>
      <c r="U14" s="5"/>
      <c r="V14" s="5"/>
      <c r="W14" s="15"/>
      <c r="X14" s="15"/>
      <c r="Y14" s="15"/>
      <c r="Z14" s="15"/>
    </row>
    <row r="15" spans="1:26">
      <c r="A15" s="7"/>
      <c r="B15" s="51">
        <f>H7-B14</f>
        <v>0</v>
      </c>
      <c r="C15" s="823" t="s">
        <v>50</v>
      </c>
      <c r="D15" s="823"/>
      <c r="E15" s="824"/>
      <c r="F15" s="52">
        <f>H7-F14</f>
        <v>0</v>
      </c>
      <c r="G15" s="831" t="s">
        <v>50</v>
      </c>
      <c r="H15" s="831"/>
      <c r="I15" s="832"/>
      <c r="K15" s="625">
        <v>11</v>
      </c>
      <c r="L15" s="132">
        <f t="shared" si="2"/>
        <v>2001</v>
      </c>
      <c r="M15" s="622">
        <f>IF($O$3&gt;0,LOOKUP($O$3+K15-1,Investment!AQ17:AQ117,Investment!AT17:AT117)/100,11%)</f>
        <v>-0.11890000000000001</v>
      </c>
      <c r="N15" s="623">
        <f t="shared" si="0"/>
        <v>1487.2620237969832</v>
      </c>
      <c r="O15" s="626">
        <f t="shared" si="1"/>
        <v>397355.82206940767</v>
      </c>
      <c r="P15" s="619">
        <f t="shared" si="3"/>
        <v>307815.79754300567</v>
      </c>
      <c r="Q15" s="4"/>
      <c r="R15" s="4"/>
      <c r="S15" s="4"/>
      <c r="T15" s="4"/>
      <c r="U15" s="4"/>
      <c r="V15" s="4"/>
      <c r="W15" s="3"/>
      <c r="X15" s="3"/>
      <c r="Y15" s="3"/>
      <c r="Z15" s="3"/>
    </row>
    <row r="16" spans="1:26" ht="16.2" customHeight="1">
      <c r="B16" s="693">
        <v>0</v>
      </c>
      <c r="C16" s="692" t="s">
        <v>3709</v>
      </c>
      <c r="D16" s="680"/>
      <c r="E16" s="681"/>
      <c r="F16" s="691">
        <v>0</v>
      </c>
      <c r="G16" s="690" t="s">
        <v>3708</v>
      </c>
      <c r="H16" s="678"/>
      <c r="I16" s="679"/>
      <c r="K16" s="625">
        <v>12</v>
      </c>
      <c r="L16" s="132">
        <f t="shared" si="2"/>
        <v>2002</v>
      </c>
      <c r="M16" s="622">
        <f>IF($O$3&gt;0,LOOKUP($O$3+K16-1,Investment!AQ18:AQ118,Investment!AT18:AT118)/100,11%)</f>
        <v>-0.221</v>
      </c>
      <c r="N16" s="623">
        <f t="shared" si="0"/>
        <v>1487.2620237969832</v>
      </c>
      <c r="O16" s="626">
        <f t="shared" si="1"/>
        <v>325498.13077927806</v>
      </c>
      <c r="P16" s="619">
        <f t="shared" si="3"/>
        <v>350933.50851711916</v>
      </c>
      <c r="Q16" s="4"/>
      <c r="R16" s="4"/>
      <c r="S16" s="4"/>
      <c r="T16" s="4"/>
      <c r="U16" s="4"/>
      <c r="V16" s="4"/>
      <c r="W16" s="3"/>
      <c r="X16" s="3"/>
      <c r="Y16" s="3"/>
      <c r="Z16" s="3"/>
    </row>
    <row r="17" spans="1:26" ht="16.2" thickBot="1">
      <c r="A17" s="1"/>
      <c r="B17" s="238">
        <f>PMT(B13/12,B12*12,-(H6-B14),0)+B16</f>
        <v>4000.7352540539177</v>
      </c>
      <c r="C17" s="825" t="s">
        <v>51</v>
      </c>
      <c r="D17" s="825"/>
      <c r="E17" s="826"/>
      <c r="F17" s="237">
        <f>PMT(F13/12,F12*12,-(H6-F14),0) +F16</f>
        <v>2513.4732302569346</v>
      </c>
      <c r="G17" s="804" t="s">
        <v>51</v>
      </c>
      <c r="H17" s="804"/>
      <c r="I17" s="805"/>
      <c r="J17" s="6"/>
      <c r="K17" s="625">
        <v>13</v>
      </c>
      <c r="L17" s="132">
        <f t="shared" si="2"/>
        <v>2003</v>
      </c>
      <c r="M17" s="622">
        <f>IF($O$3&gt;0,LOOKUP($O$3+K17-1,Investment!AQ19:AQ119,Investment!AT19:AT119)/100,11%)</f>
        <v>0.2868</v>
      </c>
      <c r="N17" s="623">
        <f t="shared" si="0"/>
        <v>1487.2620237969832</v>
      </c>
      <c r="O17" s="626">
        <f t="shared" si="1"/>
        <v>438937.44942400965</v>
      </c>
      <c r="P17" s="619">
        <f t="shared" si="3"/>
        <v>397500.63636916177</v>
      </c>
      <c r="Q17" s="4"/>
      <c r="R17" s="4"/>
      <c r="S17" s="4"/>
      <c r="T17" s="4"/>
      <c r="U17" s="4"/>
      <c r="V17" s="4"/>
      <c r="W17" s="3"/>
      <c r="X17" s="3"/>
      <c r="Y17" s="3"/>
      <c r="Z17" s="3"/>
    </row>
    <row r="18" spans="1:26">
      <c r="B18" s="239">
        <v>0</v>
      </c>
      <c r="C18" s="843" t="s">
        <v>52</v>
      </c>
      <c r="D18" s="843"/>
      <c r="E18" s="844"/>
      <c r="F18" s="240">
        <f>B17-F17+B18</f>
        <v>1487.2620237969832</v>
      </c>
      <c r="G18" s="847" t="s">
        <v>53</v>
      </c>
      <c r="H18" s="847"/>
      <c r="I18" s="848"/>
      <c r="K18" s="625">
        <v>14</v>
      </c>
      <c r="L18" s="132">
        <f t="shared" si="2"/>
        <v>2004</v>
      </c>
      <c r="M18" s="622">
        <f>IF($O$3&gt;0,LOOKUP($O$3+K18-1,Investment!AQ20:AQ120,Investment!AT20:AT120)/100,11%)</f>
        <v>0.10880000000000001</v>
      </c>
      <c r="N18" s="623">
        <f t="shared" si="0"/>
        <v>1487.2620237969832</v>
      </c>
      <c r="O18" s="626">
        <f t="shared" si="1"/>
        <v>505414.37293278932</v>
      </c>
      <c r="P18" s="619">
        <f t="shared" si="3"/>
        <v>447793.13444936776</v>
      </c>
      <c r="Q18" s="4"/>
      <c r="R18" s="4"/>
      <c r="S18" s="4"/>
      <c r="T18" s="4"/>
      <c r="U18" s="4"/>
      <c r="V18" s="4"/>
      <c r="W18" s="3"/>
      <c r="X18" s="3"/>
      <c r="Y18" s="3"/>
      <c r="Z18" s="3"/>
    </row>
    <row r="19" spans="1:26" ht="16.2" thickBot="1">
      <c r="B19" s="628"/>
      <c r="C19" s="845"/>
      <c r="D19" s="845"/>
      <c r="E19" s="846"/>
      <c r="F19" s="629"/>
      <c r="G19" s="849"/>
      <c r="H19" s="849"/>
      <c r="I19" s="850"/>
      <c r="K19" s="627">
        <v>15</v>
      </c>
      <c r="L19" s="132">
        <f t="shared" si="2"/>
        <v>2005</v>
      </c>
      <c r="M19" s="622">
        <f>IF($O$3&gt;0,LOOKUP($O$3+K19-1,Investment!AQ21:AQ121,Investment!AT21:AT121)/100,11%)</f>
        <v>4.9100000000000005E-2</v>
      </c>
      <c r="N19" s="623">
        <f t="shared" si="0"/>
        <v>1487.2620237969832</v>
      </c>
      <c r="O19" s="626">
        <f t="shared" si="1"/>
        <v>548475.52221906127</v>
      </c>
      <c r="P19" s="619">
        <f t="shared" si="3"/>
        <v>502109.03237599024</v>
      </c>
      <c r="Q19" s="5"/>
      <c r="R19" s="5"/>
      <c r="S19" s="5"/>
      <c r="T19" s="5"/>
      <c r="U19" s="5"/>
      <c r="V19" s="5"/>
      <c r="W19" s="15"/>
      <c r="X19" s="15"/>
      <c r="Y19" s="15"/>
      <c r="Z19" s="15"/>
    </row>
    <row r="20" spans="1:26">
      <c r="B20" s="851" t="s">
        <v>3697</v>
      </c>
      <c r="C20" s="852"/>
      <c r="D20" s="852"/>
      <c r="E20" s="852"/>
      <c r="F20" s="852"/>
      <c r="G20" s="852"/>
      <c r="H20" s="852"/>
      <c r="I20" s="853"/>
      <c r="K20" s="625">
        <v>16</v>
      </c>
      <c r="L20" s="132">
        <f t="shared" si="2"/>
        <v>2006</v>
      </c>
      <c r="M20" s="622">
        <f>IF($O$3&gt;0,LOOKUP($O$3+K20-1,Investment!AQ22:AQ122,Investment!AT22:AT122)/100,11%)</f>
        <v>0.15789999999999998</v>
      </c>
      <c r="N20" s="623">
        <f t="shared" si="0"/>
        <v>-2513.4732302569346</v>
      </c>
      <c r="O20" s="626">
        <f t="shared" si="1"/>
        <v>602793.06310301437</v>
      </c>
      <c r="P20" s="619">
        <f t="shared" si="3"/>
        <v>511025.51414924063</v>
      </c>
      <c r="Q20" s="4"/>
      <c r="R20" s="4"/>
      <c r="S20" s="4"/>
      <c r="T20" s="4"/>
      <c r="U20" s="4"/>
      <c r="V20" s="4"/>
      <c r="W20" s="3"/>
      <c r="X20" s="3"/>
      <c r="Y20" s="3"/>
      <c r="Z20" s="3"/>
    </row>
    <row r="21" spans="1:26" ht="16.2" thickBot="1">
      <c r="B21" s="761" t="s">
        <v>3696</v>
      </c>
      <c r="C21" s="762"/>
      <c r="D21" s="762"/>
      <c r="E21" s="762"/>
      <c r="F21" s="762"/>
      <c r="G21" s="630">
        <v>1991</v>
      </c>
      <c r="H21" s="820" t="str">
        <f>IF(G21&lt;1900, "%", "--" &amp; G21+29)</f>
        <v>--2020</v>
      </c>
      <c r="I21" s="821"/>
      <c r="K21" s="625">
        <v>17</v>
      </c>
      <c r="L21" s="132">
        <f t="shared" si="2"/>
        <v>2007</v>
      </c>
      <c r="M21" s="622">
        <f>IF($O$3&gt;0,LOOKUP($O$3+K21-1,Investment!AQ23:AQ123,Investment!AT23:AT123)/100,11%)</f>
        <v>5.4900000000000004E-2</v>
      </c>
      <c r="N21" s="623">
        <f t="shared" si="0"/>
        <v>-2513.4732302569346</v>
      </c>
      <c r="O21" s="626">
        <f t="shared" si="1"/>
        <v>604973.10368921631</v>
      </c>
      <c r="P21" s="619">
        <f t="shared" si="3"/>
        <v>520655.3144643511</v>
      </c>
      <c r="Q21" s="4"/>
      <c r="R21" s="4"/>
      <c r="S21" s="4"/>
      <c r="T21" s="4"/>
      <c r="U21" s="4"/>
      <c r="V21" s="4"/>
      <c r="W21" s="3"/>
      <c r="X21" s="3"/>
      <c r="Y21" s="3"/>
      <c r="Z21" s="3"/>
    </row>
    <row r="22" spans="1:26">
      <c r="B22" s="803" t="s">
        <v>54</v>
      </c>
      <c r="C22" s="803"/>
      <c r="D22" s="803"/>
      <c r="E22" s="803"/>
      <c r="F22" s="803"/>
      <c r="G22" s="803"/>
      <c r="H22" s="803"/>
      <c r="I22" s="803"/>
      <c r="K22" s="625">
        <v>18</v>
      </c>
      <c r="L22" s="132">
        <f t="shared" si="2"/>
        <v>2008</v>
      </c>
      <c r="M22" s="622">
        <f>IF($O$3&gt;0,LOOKUP($O$3+K22-1,Investment!AQ24:AQ124,Investment!AT24:AT124)/100,11%)</f>
        <v>-0.37</v>
      </c>
      <c r="N22" s="623">
        <f t="shared" si="0"/>
        <v>-2513.4732302569346</v>
      </c>
      <c r="O22" s="626">
        <f t="shared" si="1"/>
        <v>356511.47574746492</v>
      </c>
      <c r="P22" s="619">
        <f t="shared" si="3"/>
        <v>531055.49880467029</v>
      </c>
      <c r="Q22" s="4"/>
      <c r="R22" s="4"/>
      <c r="S22" s="4"/>
      <c r="T22" s="4"/>
      <c r="U22" s="4"/>
      <c r="V22" s="4"/>
      <c r="W22" s="3"/>
      <c r="X22" s="3"/>
      <c r="Y22" s="3"/>
      <c r="Z22" s="3"/>
    </row>
    <row r="23" spans="1:26" ht="21" customHeight="1" thickBot="1">
      <c r="K23" s="625">
        <v>19</v>
      </c>
      <c r="L23" s="132">
        <f t="shared" si="2"/>
        <v>2009</v>
      </c>
      <c r="M23" s="622">
        <f>IF($O$3&gt;0,LOOKUP($O$3+K23-1,Investment!AQ25:AQ125,Investment!AT25:AT125)/100,11%)</f>
        <v>0.2646</v>
      </c>
      <c r="N23" s="623">
        <f t="shared" si="0"/>
        <v>-2513.4732302569346</v>
      </c>
      <c r="O23" s="626">
        <f t="shared" si="1"/>
        <v>417179.77635842655</v>
      </c>
      <c r="P23" s="619">
        <f t="shared" si="3"/>
        <v>542287.69789221499</v>
      </c>
      <c r="Q23" s="4"/>
      <c r="R23" s="4"/>
      <c r="S23" s="4"/>
      <c r="T23" s="4"/>
      <c r="U23" s="4"/>
      <c r="V23" s="4"/>
      <c r="W23" s="3"/>
      <c r="X23" s="3"/>
      <c r="Y23" s="3"/>
      <c r="Z23" s="3"/>
    </row>
    <row r="24" spans="1:26" ht="20.399999999999999" customHeight="1" thickBot="1">
      <c r="B24" s="631" t="s">
        <v>3693</v>
      </c>
      <c r="C24" s="632"/>
      <c r="D24" s="633"/>
      <c r="E24" s="634">
        <f>ROUND(NPER(B13/12,B17+B18,-H6+B14),1)</f>
        <v>180</v>
      </c>
      <c r="F24" s="631"/>
      <c r="G24" s="632"/>
      <c r="H24" s="633"/>
      <c r="I24" s="635">
        <f>ROUNDUP(NPER(F13/12,F17,-H6+F14),1)</f>
        <v>360.1</v>
      </c>
      <c r="K24" s="627">
        <v>20</v>
      </c>
      <c r="L24" s="132">
        <f t="shared" si="2"/>
        <v>2010</v>
      </c>
      <c r="M24" s="622">
        <f>IF($O$3&gt;0,LOOKUP($O$3+K24-1,Investment!AQ26:AQ126,Investment!AT26:AT126)/100,11%)</f>
        <v>0.15060000000000001</v>
      </c>
      <c r="N24" s="623">
        <f t="shared" si="0"/>
        <v>-2513.4732302569346</v>
      </c>
      <c r="O24" s="626">
        <f t="shared" si="1"/>
        <v>447816.17727056361</v>
      </c>
      <c r="P24" s="619">
        <f t="shared" si="3"/>
        <v>554418.47290676332</v>
      </c>
      <c r="Q24" s="5"/>
      <c r="R24" s="5"/>
      <c r="S24" s="5"/>
      <c r="T24" s="5"/>
      <c r="U24" s="5"/>
      <c r="V24" s="5"/>
      <c r="W24" s="15"/>
      <c r="X24" s="15"/>
      <c r="Y24" s="15"/>
      <c r="Z24" s="15"/>
    </row>
    <row r="25" spans="1:26" ht="21.6" customHeight="1" thickBot="1">
      <c r="B25" s="791" t="s">
        <v>55</v>
      </c>
      <c r="C25" s="792"/>
      <c r="D25" s="792"/>
      <c r="E25" s="792"/>
      <c r="F25" s="792"/>
      <c r="G25" s="792"/>
      <c r="H25" s="792"/>
      <c r="I25" s="793"/>
      <c r="K25" s="625">
        <v>21</v>
      </c>
      <c r="L25" s="132">
        <f t="shared" si="2"/>
        <v>2011</v>
      </c>
      <c r="M25" s="622">
        <f>IF($O$3&gt;0,LOOKUP($O$3+K25-1,Investment!AQ27:AQ127,Investment!AT27:AT127)/100,11%)</f>
        <v>2.1099999999999997E-2</v>
      </c>
      <c r="N25" s="623">
        <f t="shared" si="0"/>
        <v>-2513.4732302569346</v>
      </c>
      <c r="O25" s="626">
        <f t="shared" si="1"/>
        <v>426812.83096252661</v>
      </c>
      <c r="P25" s="619">
        <f t="shared" si="3"/>
        <v>567519.70992247551</v>
      </c>
      <c r="Q25" s="4"/>
      <c r="R25" s="4"/>
      <c r="S25" s="4"/>
      <c r="T25" s="4"/>
      <c r="U25" s="4"/>
      <c r="V25" s="4"/>
      <c r="W25" s="3"/>
      <c r="X25" s="3"/>
      <c r="Y25" s="3"/>
      <c r="Z25" s="3"/>
    </row>
    <row r="26" spans="1:26" ht="25.8" thickBot="1">
      <c r="B26" s="806" t="s">
        <v>41</v>
      </c>
      <c r="C26" s="807"/>
      <c r="D26" s="807"/>
      <c r="E26" s="808"/>
      <c r="F26" s="806" t="s">
        <v>42</v>
      </c>
      <c r="G26" s="807"/>
      <c r="H26" s="807"/>
      <c r="I26" s="808"/>
      <c r="K26" s="625">
        <v>22</v>
      </c>
      <c r="L26" s="132">
        <f t="shared" si="2"/>
        <v>2012</v>
      </c>
      <c r="M26" s="622">
        <f>IF($O$3&gt;0,LOOKUP($O$3+K26-1,Investment!AQ28:AQ128,Investment!AT28:AT128)/100,11%)</f>
        <v>0.16</v>
      </c>
      <c r="N26" s="623">
        <f t="shared" si="0"/>
        <v>-2513.4732302569346</v>
      </c>
      <c r="O26" s="626">
        <f t="shared" si="1"/>
        <v>462788.60026330728</v>
      </c>
      <c r="P26" s="619">
        <f t="shared" si="3"/>
        <v>581669.04589944473</v>
      </c>
      <c r="Q26" s="4"/>
      <c r="R26" s="4"/>
      <c r="S26" s="4"/>
      <c r="T26" s="4"/>
      <c r="U26" s="4"/>
      <c r="V26" s="4"/>
      <c r="W26" s="3"/>
      <c r="X26" s="3"/>
      <c r="Y26" s="3"/>
      <c r="Z26" s="3"/>
    </row>
    <row r="27" spans="1:26">
      <c r="B27" s="789" t="s">
        <v>56</v>
      </c>
      <c r="C27" s="790"/>
      <c r="D27" s="842"/>
      <c r="E27" s="53">
        <f>((B17+B18)*MIN(60,E24) -(H6-B14-FV(B13/12,60,B17+B18,-(H6-B14))))*H8</f>
        <v>21263.779465091087</v>
      </c>
      <c r="F27" s="789" t="s">
        <v>56</v>
      </c>
      <c r="G27" s="790"/>
      <c r="H27" s="790"/>
      <c r="I27" s="54">
        <f>(F17*MIN(60,I24)-(H6-F14-FV(F13/12,60,F17,-(H6-F14))))*H8</f>
        <v>27640.419303933104</v>
      </c>
      <c r="K27" s="625">
        <v>23</v>
      </c>
      <c r="L27" s="132">
        <f t="shared" si="2"/>
        <v>2013</v>
      </c>
      <c r="M27" s="622">
        <f>IF($O$3&gt;0,LOOKUP($O$3+K27-1,Investment!AQ29:AQ129,Investment!AT29:AT129)/100,11%)</f>
        <v>0.32390000000000002</v>
      </c>
      <c r="N27" s="623">
        <f t="shared" si="0"/>
        <v>-2513.4732302569346</v>
      </c>
      <c r="O27" s="626">
        <f t="shared" si="1"/>
        <v>578273.06247537036</v>
      </c>
      <c r="P27" s="619">
        <f t="shared" si="3"/>
        <v>596950.32875457138</v>
      </c>
      <c r="Q27" s="4"/>
      <c r="R27" s="4"/>
      <c r="S27" s="4"/>
      <c r="T27" s="4"/>
      <c r="U27" s="4"/>
      <c r="V27" s="4"/>
      <c r="W27" s="3"/>
      <c r="X27" s="3"/>
      <c r="Y27" s="3"/>
      <c r="Z27" s="3"/>
    </row>
    <row r="28" spans="1:26">
      <c r="B28" s="809" t="s">
        <v>57</v>
      </c>
      <c r="C28" s="810"/>
      <c r="D28" s="811"/>
      <c r="E28" s="55">
        <v>0</v>
      </c>
      <c r="F28" s="812" t="s">
        <v>58</v>
      </c>
      <c r="G28" s="813"/>
      <c r="H28" s="813"/>
      <c r="I28" s="56">
        <f>IF(G21&lt;1900,FV((1+G21/100)^(1/12)-1,60,-F18,-F15),O9)</f>
        <v>133175.38124612812</v>
      </c>
      <c r="K28" s="625">
        <v>24</v>
      </c>
      <c r="L28" s="132">
        <f t="shared" si="2"/>
        <v>2014</v>
      </c>
      <c r="M28" s="622">
        <f>IF($O$3&gt;0,LOOKUP($O$3+K28-1,Investment!AQ30:AQ130,Investment!AT30:AT130)/100,11%)</f>
        <v>0.13689999999999999</v>
      </c>
      <c r="N28" s="623">
        <f t="shared" si="0"/>
        <v>-2513.4732302569346</v>
      </c>
      <c r="O28" s="626">
        <f t="shared" si="1"/>
        <v>625428.27672979364</v>
      </c>
      <c r="P28" s="619">
        <f t="shared" si="3"/>
        <v>613454.11423810816</v>
      </c>
      <c r="Q28" s="4"/>
      <c r="R28" s="4"/>
      <c r="S28" s="4"/>
      <c r="T28" s="4"/>
      <c r="U28" s="4"/>
      <c r="V28" s="4"/>
      <c r="W28" s="3"/>
      <c r="X28" s="3"/>
      <c r="Y28" s="3"/>
      <c r="Z28" s="3"/>
    </row>
    <row r="29" spans="1:26" ht="16.95" customHeight="1" thickBot="1">
      <c r="B29" s="839" t="s">
        <v>59</v>
      </c>
      <c r="C29" s="840"/>
      <c r="D29" s="841"/>
      <c r="E29" s="57">
        <f>H6-FV(B13/12,60,B17+B18,-(H6-B14))</f>
        <v>375608.41989447421</v>
      </c>
      <c r="F29" s="839" t="s">
        <v>59</v>
      </c>
      <c r="G29" s="840"/>
      <c r="H29" s="840"/>
      <c r="I29" s="58">
        <f>H6-FV(F13/12,60,F17,-(H6-F14),0)</f>
        <v>267049.54743986123</v>
      </c>
      <c r="K29" s="627">
        <v>25</v>
      </c>
      <c r="L29" s="132">
        <f t="shared" si="2"/>
        <v>2015</v>
      </c>
      <c r="M29" s="622">
        <f>IF($O$3&gt;0,LOOKUP($O$3+K29-1,Investment!AQ31:AQ131,Investment!AT31:AT131)/100,11%)</f>
        <v>1.38E-2</v>
      </c>
      <c r="N29" s="623">
        <f t="shared" si="0"/>
        <v>-2513.4732302569346</v>
      </c>
      <c r="O29" s="626">
        <f t="shared" si="1"/>
        <v>603707.20765769714</v>
      </c>
      <c r="P29" s="619">
        <f t="shared" si="3"/>
        <v>631278.20256032795</v>
      </c>
      <c r="Q29" s="5"/>
      <c r="R29" s="5"/>
      <c r="S29" s="5"/>
      <c r="T29" s="5"/>
      <c r="U29" s="5"/>
      <c r="V29" s="5"/>
      <c r="W29" s="15"/>
      <c r="X29" s="15"/>
      <c r="Y29" s="15"/>
      <c r="Z29" s="15"/>
    </row>
    <row r="30" spans="1:26" ht="18.600000000000001" customHeight="1" thickBot="1">
      <c r="B30" s="854" t="s">
        <v>82</v>
      </c>
      <c r="C30" s="855"/>
      <c r="D30" s="855"/>
      <c r="E30" s="855"/>
      <c r="F30" s="855"/>
      <c r="G30" s="855"/>
      <c r="H30" s="855"/>
      <c r="I30" s="856"/>
      <c r="K30" s="625">
        <v>26</v>
      </c>
      <c r="L30" s="132">
        <f t="shared" si="2"/>
        <v>2016</v>
      </c>
      <c r="M30" s="622">
        <f>IF($O$3&gt;0,LOOKUP($O$3+K30-1,Investment!AQ32:AQ132,Investment!AT32:AT132)/100,11%)</f>
        <v>0.11960000000000001</v>
      </c>
      <c r="N30" s="623">
        <f t="shared" si="0"/>
        <v>-2513.4732302569346</v>
      </c>
      <c r="O30" s="626">
        <f t="shared" si="1"/>
        <v>644129.26569570706</v>
      </c>
      <c r="P30" s="619">
        <f t="shared" si="3"/>
        <v>650528.21794832533</v>
      </c>
      <c r="Q30" s="4"/>
      <c r="R30" s="4"/>
      <c r="S30" s="4"/>
      <c r="T30" s="4"/>
      <c r="U30" s="4"/>
      <c r="V30" s="4"/>
      <c r="W30" s="3"/>
      <c r="X30" s="3"/>
      <c r="Y30" s="3"/>
      <c r="Z30" s="3"/>
    </row>
    <row r="31" spans="1:26" ht="20.399999999999999" customHeight="1">
      <c r="B31" s="871" t="s">
        <v>60</v>
      </c>
      <c r="C31" s="872"/>
      <c r="D31" s="872"/>
      <c r="E31" s="873"/>
      <c r="F31" s="59">
        <f>I28</f>
        <v>133175.38124612812</v>
      </c>
      <c r="G31" s="866" t="s">
        <v>61</v>
      </c>
      <c r="H31" s="866"/>
      <c r="I31" s="867"/>
      <c r="K31" s="625">
        <v>27</v>
      </c>
      <c r="L31" s="132">
        <f t="shared" si="2"/>
        <v>2017</v>
      </c>
      <c r="M31" s="622">
        <f>IF($O$3&gt;0,LOOKUP($O$3+K31-1,Investment!AQ33:AQ133,Investment!AT33:AT133)/100,11%)</f>
        <v>0.21829999999999999</v>
      </c>
      <c r="N31" s="623">
        <f t="shared" si="0"/>
        <v>-2513.4732302569346</v>
      </c>
      <c r="O31" s="626">
        <f t="shared" si="1"/>
        <v>751670.72390121664</v>
      </c>
      <c r="P31" s="619">
        <f t="shared" si="3"/>
        <v>671318.23456736247</v>
      </c>
      <c r="Q31" s="4"/>
      <c r="R31" s="4"/>
      <c r="S31" s="4"/>
      <c r="T31" s="4"/>
      <c r="U31" s="4"/>
      <c r="V31" s="4"/>
      <c r="W31" s="3"/>
      <c r="X31" s="3"/>
      <c r="Y31" s="3"/>
      <c r="Z31" s="3"/>
    </row>
    <row r="32" spans="1:26" ht="16.2" customHeight="1">
      <c r="B32" s="874" t="s">
        <v>3605</v>
      </c>
      <c r="C32" s="875"/>
      <c r="D32" s="875"/>
      <c r="E32" s="876"/>
      <c r="F32" s="868" t="s">
        <v>62</v>
      </c>
      <c r="G32" s="869"/>
      <c r="H32" s="869"/>
      <c r="I32" s="870"/>
      <c r="K32" s="625">
        <v>28</v>
      </c>
      <c r="L32" s="132">
        <f t="shared" si="2"/>
        <v>2018</v>
      </c>
      <c r="M32" s="622">
        <f>IF($O$3&gt;0,LOOKUP($O$3+K32-1,Investment!AQ34:AQ134,Investment!AT34:AT134)/100,11%)</f>
        <v>-4.3799999999999999E-2</v>
      </c>
      <c r="N32" s="623">
        <f t="shared" si="0"/>
        <v>-2513.4732302569346</v>
      </c>
      <c r="O32" s="626">
        <f t="shared" si="1"/>
        <v>689196.25946312118</v>
      </c>
      <c r="P32" s="619">
        <f t="shared" si="3"/>
        <v>693771.4525159226</v>
      </c>
      <c r="Q32" s="4"/>
      <c r="R32" s="4"/>
      <c r="S32" s="4"/>
      <c r="T32" s="4"/>
      <c r="U32" s="4"/>
      <c r="V32" s="4"/>
      <c r="W32" s="3"/>
      <c r="X32" s="3"/>
      <c r="Y32" s="3"/>
      <c r="Z32" s="3"/>
    </row>
    <row r="33" spans="2:26" ht="19.95" customHeight="1">
      <c r="B33" s="860" t="s">
        <v>3606</v>
      </c>
      <c r="C33" s="861"/>
      <c r="D33" s="861"/>
      <c r="E33" s="862"/>
      <c r="F33" s="877" t="s">
        <v>3608</v>
      </c>
      <c r="G33" s="877"/>
      <c r="H33" s="877"/>
      <c r="I33" s="878"/>
      <c r="K33" s="625">
        <v>29</v>
      </c>
      <c r="L33" s="132">
        <f t="shared" si="2"/>
        <v>2019</v>
      </c>
      <c r="M33" s="622">
        <f>IF($O$3&gt;0,LOOKUP($O$3+K33-1,Investment!AQ35:AQ135,Investment!AT35:AT135)/100,11%)</f>
        <v>0.31489999999999996</v>
      </c>
      <c r="N33" s="623">
        <f t="shared" si="0"/>
        <v>-2513.4732302569346</v>
      </c>
      <c r="O33" s="626">
        <f t="shared" si="1"/>
        <v>871924.17750510899</v>
      </c>
      <c r="P33" s="619">
        <f t="shared" si="3"/>
        <v>718020.92790036753</v>
      </c>
      <c r="Q33" s="4"/>
      <c r="R33" s="4"/>
      <c r="S33" s="4"/>
      <c r="T33" s="4"/>
      <c r="U33" s="4"/>
      <c r="V33" s="4"/>
      <c r="W33" s="3"/>
      <c r="X33" s="3"/>
      <c r="Y33" s="3"/>
      <c r="Z33" s="3"/>
    </row>
    <row r="34" spans="2:26" ht="22.8" customHeight="1" thickBot="1">
      <c r="B34" s="863" t="s">
        <v>3607</v>
      </c>
      <c r="C34" s="864"/>
      <c r="D34" s="864"/>
      <c r="E34" s="865"/>
      <c r="F34" s="879" t="s">
        <v>3609</v>
      </c>
      <c r="G34" s="880"/>
      <c r="H34" s="880"/>
      <c r="I34" s="881"/>
      <c r="K34" s="74">
        <v>30</v>
      </c>
      <c r="L34" s="132">
        <f t="shared" si="2"/>
        <v>2020</v>
      </c>
      <c r="M34" s="71">
        <f>IF($O$3&gt;0,LOOKUP($O$3+K34-1,Investment!AQ36:AQ136,Investment!AT36:AT136)/100,11%)</f>
        <v>0.184</v>
      </c>
      <c r="N34" s="75">
        <f t="shared" si="0"/>
        <v>-2513.4732302569346</v>
      </c>
      <c r="O34" s="617">
        <f t="shared" si="1"/>
        <v>999730.44497703516</v>
      </c>
      <c r="P34" s="620">
        <f t="shared" si="3"/>
        <v>744210.36131556798</v>
      </c>
      <c r="Q34" s="5"/>
      <c r="R34" s="5"/>
      <c r="S34" s="5"/>
      <c r="T34" s="5"/>
      <c r="U34" s="5"/>
      <c r="V34" s="5"/>
      <c r="W34" s="15"/>
      <c r="X34" s="15"/>
      <c r="Y34" s="15"/>
      <c r="Z34" s="15"/>
    </row>
    <row r="35" spans="2:26" ht="16.2" thickBot="1">
      <c r="B35" s="857" t="s">
        <v>63</v>
      </c>
      <c r="C35" s="858"/>
      <c r="D35" s="858"/>
      <c r="E35" s="858"/>
      <c r="F35" s="858"/>
      <c r="G35" s="858"/>
      <c r="H35" s="858"/>
      <c r="I35" s="859"/>
    </row>
    <row r="36" spans="2:26" ht="16.2" thickBot="1">
      <c r="B36" s="60"/>
      <c r="C36" s="60"/>
      <c r="D36" s="60"/>
      <c r="E36" s="60"/>
      <c r="F36" s="60"/>
      <c r="G36" s="60"/>
      <c r="H36" s="60"/>
      <c r="I36" s="60"/>
    </row>
    <row r="37" spans="2:26" ht="25.8" thickBot="1">
      <c r="B37" s="783" t="s">
        <v>64</v>
      </c>
      <c r="C37" s="784"/>
      <c r="D37" s="784"/>
      <c r="E37" s="784"/>
      <c r="F37" s="784"/>
      <c r="G37" s="784"/>
      <c r="H37" s="784"/>
      <c r="I37" s="785"/>
    </row>
    <row r="38" spans="2:26" ht="25.8" thickBot="1">
      <c r="B38" s="786" t="s">
        <v>41</v>
      </c>
      <c r="C38" s="787"/>
      <c r="D38" s="787"/>
      <c r="E38" s="788"/>
      <c r="F38" s="786" t="s">
        <v>42</v>
      </c>
      <c r="G38" s="787"/>
      <c r="H38" s="787"/>
      <c r="I38" s="788"/>
    </row>
    <row r="39" spans="2:26">
      <c r="B39" s="789" t="s">
        <v>56</v>
      </c>
      <c r="C39" s="790"/>
      <c r="D39" s="790"/>
      <c r="E39" s="61">
        <f>((B17+B18)*MIN(180,E24)-(H6-B14-FV(B13/12,180,B17+B18,-(H6-B14))))*H8</f>
        <v>39643.674090788423</v>
      </c>
      <c r="F39" s="789" t="s">
        <v>56</v>
      </c>
      <c r="G39" s="790"/>
      <c r="H39" s="790"/>
      <c r="I39" s="62">
        <f>(F17*MIN(180,I24)-(H6-F14-FV(F13/12,180,F17,-(H6-F14))))*H8</f>
        <v>71827.907758051224</v>
      </c>
      <c r="P39" s="615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24.6" customHeight="1">
      <c r="B40" s="812" t="s">
        <v>57</v>
      </c>
      <c r="C40" s="813"/>
      <c r="D40" s="813"/>
      <c r="E40" s="63">
        <f>MAX(FV((1+G21)^(1/12)-1,180-NPER(B13/12,B17+B18,-H6+B14,0),-B17-B18,0),0)</f>
        <v>2.5342195131915742E-8</v>
      </c>
      <c r="F40" s="812" t="s">
        <v>58</v>
      </c>
      <c r="G40" s="813"/>
      <c r="H40" s="813"/>
      <c r="I40" s="64">
        <f>IF(G21&lt;1900,FV((1+G21/100)^(1/12)-1,180,-F18,-F15),O19)</f>
        <v>548475.52221906127</v>
      </c>
    </row>
    <row r="41" spans="2:26" s="67" customFormat="1" ht="28.8" customHeight="1">
      <c r="B41" s="773" t="s">
        <v>65</v>
      </c>
      <c r="C41" s="774"/>
      <c r="D41" s="774"/>
      <c r="E41" s="640">
        <f>MAX(FV(B13/12,180,B17+B18,-H6+B14),0)</f>
        <v>0</v>
      </c>
      <c r="F41" s="775" t="s">
        <v>65</v>
      </c>
      <c r="G41" s="776"/>
      <c r="H41" s="776"/>
      <c r="I41" s="641">
        <f>MAX(FV(F13/12,180,F17,-H6+F14),0)</f>
        <v>365235.14509330096</v>
      </c>
      <c r="K41" s="127"/>
      <c r="L41" s="128"/>
      <c r="M41" s="127"/>
      <c r="N41" s="126"/>
      <c r="O41" s="127"/>
      <c r="P41" s="476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2:26" ht="26.4" customHeight="1" thickBot="1">
      <c r="B42" s="884" t="s">
        <v>66</v>
      </c>
      <c r="C42" s="885"/>
      <c r="D42" s="886"/>
      <c r="E42" s="642">
        <f>E40-E41</f>
        <v>2.5342195131915742E-8</v>
      </c>
      <c r="F42" s="884" t="s">
        <v>67</v>
      </c>
      <c r="G42" s="885"/>
      <c r="H42" s="885"/>
      <c r="I42" s="643">
        <f>I40-I41</f>
        <v>183240.37712576031</v>
      </c>
    </row>
    <row r="43" spans="2:26" ht="16.2" thickBot="1">
      <c r="B43" s="780" t="s">
        <v>68</v>
      </c>
      <c r="C43" s="781"/>
      <c r="D43" s="781"/>
      <c r="E43" s="782"/>
      <c r="F43" s="780" t="s">
        <v>69</v>
      </c>
      <c r="G43" s="781"/>
      <c r="H43" s="781"/>
      <c r="I43" s="782"/>
    </row>
    <row r="44" spans="2:26" ht="16.2" thickBot="1">
      <c r="B44" s="763" t="s">
        <v>70</v>
      </c>
      <c r="C44" s="764"/>
      <c r="D44" s="764"/>
      <c r="E44" s="764"/>
      <c r="F44" s="764"/>
      <c r="G44" s="764"/>
      <c r="H44" s="765">
        <f>I42-E42+I39-E39</f>
        <v>215424.61079299776</v>
      </c>
      <c r="I44" s="766"/>
      <c r="P44" s="615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6.2" thickBot="1">
      <c r="B45" s="68"/>
      <c r="C45" s="68"/>
      <c r="D45" s="68"/>
      <c r="E45" s="68"/>
      <c r="F45" s="68"/>
      <c r="G45" s="68"/>
      <c r="H45" s="69"/>
      <c r="I45" s="69"/>
    </row>
    <row r="46" spans="2:26">
      <c r="B46" s="767" t="s">
        <v>77</v>
      </c>
      <c r="C46" s="768"/>
      <c r="D46" s="768"/>
      <c r="E46" s="768"/>
      <c r="F46" s="768"/>
      <c r="G46" s="768"/>
      <c r="H46" s="768"/>
      <c r="I46" s="769"/>
    </row>
    <row r="47" spans="2:26" ht="16.2" thickBot="1">
      <c r="B47" s="770"/>
      <c r="C47" s="771"/>
      <c r="D47" s="771"/>
      <c r="E47" s="771"/>
      <c r="F47" s="771"/>
      <c r="G47" s="771"/>
      <c r="H47" s="771"/>
      <c r="I47" s="772"/>
    </row>
    <row r="48" spans="2:26" ht="25.8" thickBot="1">
      <c r="B48" s="783" t="s">
        <v>71</v>
      </c>
      <c r="C48" s="784"/>
      <c r="D48" s="784"/>
      <c r="E48" s="784"/>
      <c r="F48" s="784"/>
      <c r="G48" s="784"/>
      <c r="H48" s="784"/>
      <c r="I48" s="785"/>
      <c r="L48" s="614"/>
    </row>
    <row r="49" spans="2:26" ht="25.8" thickBot="1">
      <c r="B49" s="786" t="s">
        <v>41</v>
      </c>
      <c r="C49" s="787"/>
      <c r="D49" s="787"/>
      <c r="E49" s="788"/>
      <c r="F49" s="786" t="s">
        <v>42</v>
      </c>
      <c r="G49" s="787"/>
      <c r="H49" s="787"/>
      <c r="I49" s="788"/>
    </row>
    <row r="50" spans="2:26" ht="21.6" customHeight="1">
      <c r="B50" s="789" t="s">
        <v>56</v>
      </c>
      <c r="C50" s="790"/>
      <c r="D50" s="790"/>
      <c r="E50" s="61">
        <f>(MIN(E24,360)*(B17+B18)-(H6-B14))*H8</f>
        <v>39643.674090802713</v>
      </c>
      <c r="F50" s="789" t="s">
        <v>56</v>
      </c>
      <c r="G50" s="790"/>
      <c r="H50" s="790"/>
      <c r="I50" s="62">
        <f>(F17*MIN(360,I24)-H6+F14)*H8</f>
        <v>100600.61975452381</v>
      </c>
    </row>
    <row r="51" spans="2:26" ht="24" customHeight="1">
      <c r="B51" s="775" t="s">
        <v>57</v>
      </c>
      <c r="C51" s="776"/>
      <c r="D51" s="776"/>
      <c r="E51" s="644">
        <v>0</v>
      </c>
      <c r="F51" s="775" t="s">
        <v>58</v>
      </c>
      <c r="G51" s="776"/>
      <c r="H51" s="776"/>
      <c r="I51" s="645">
        <f>IF(G21&lt;1900,FV((1+G21/100)^(1/12)-1,180,IF(B12=15,F17,-F18),-I40),O34)</f>
        <v>999730.44497703516</v>
      </c>
    </row>
    <row r="52" spans="2:26" ht="26.4" customHeight="1">
      <c r="B52" s="773" t="s">
        <v>65</v>
      </c>
      <c r="C52" s="774"/>
      <c r="D52" s="774"/>
      <c r="E52" s="640">
        <v>0</v>
      </c>
      <c r="F52" s="775" t="s">
        <v>65</v>
      </c>
      <c r="G52" s="776"/>
      <c r="H52" s="776"/>
      <c r="I52" s="641">
        <v>0</v>
      </c>
    </row>
    <row r="53" spans="2:26" ht="16.2" thickBot="1">
      <c r="B53" s="777" t="s">
        <v>66</v>
      </c>
      <c r="C53" s="778"/>
      <c r="D53" s="779"/>
      <c r="E53" s="647">
        <v>0</v>
      </c>
      <c r="F53" s="777" t="s">
        <v>66</v>
      </c>
      <c r="G53" s="778"/>
      <c r="H53" s="778"/>
      <c r="I53" s="646">
        <f>I51-I52</f>
        <v>999730.44497703516</v>
      </c>
    </row>
    <row r="54" spans="2:26" ht="16.2" thickBot="1">
      <c r="B54" s="780" t="s">
        <v>68</v>
      </c>
      <c r="C54" s="781"/>
      <c r="D54" s="781"/>
      <c r="E54" s="782"/>
      <c r="F54" s="780" t="s">
        <v>69</v>
      </c>
      <c r="G54" s="781"/>
      <c r="H54" s="781"/>
      <c r="I54" s="782"/>
    </row>
    <row r="55" spans="2:26" ht="16.2" thickBot="1">
      <c r="B55" s="763" t="s">
        <v>70</v>
      </c>
      <c r="C55" s="764"/>
      <c r="D55" s="764"/>
      <c r="E55" s="764"/>
      <c r="F55" s="764"/>
      <c r="G55" s="764"/>
      <c r="H55" s="765">
        <f>I53-E53+I50-E50</f>
        <v>1060687.3906407563</v>
      </c>
      <c r="I55" s="766"/>
      <c r="P55" s="616"/>
      <c r="Q55" s="10"/>
      <c r="R55" s="10"/>
      <c r="S55" s="10"/>
      <c r="T55" s="10"/>
      <c r="U55" s="10"/>
      <c r="V55" s="10"/>
      <c r="W55" s="10"/>
      <c r="X55" s="10"/>
      <c r="Y55" s="10"/>
      <c r="Z55" s="10"/>
    </row>
  </sheetData>
  <mergeCells count="81">
    <mergeCell ref="K2:N2"/>
    <mergeCell ref="F10:I11"/>
    <mergeCell ref="B44:G44"/>
    <mergeCell ref="H44:I44"/>
    <mergeCell ref="B43:E43"/>
    <mergeCell ref="F43:I43"/>
    <mergeCell ref="B40:D40"/>
    <mergeCell ref="B41:D41"/>
    <mergeCell ref="F41:H41"/>
    <mergeCell ref="F40:H40"/>
    <mergeCell ref="F42:H42"/>
    <mergeCell ref="B42:D42"/>
    <mergeCell ref="B37:I37"/>
    <mergeCell ref="B38:E38"/>
    <mergeCell ref="F38:I38"/>
    <mergeCell ref="B39:D39"/>
    <mergeCell ref="F39:H39"/>
    <mergeCell ref="B30:I30"/>
    <mergeCell ref="B35:I35"/>
    <mergeCell ref="B33:E33"/>
    <mergeCell ref="B34:E34"/>
    <mergeCell ref="G31:I31"/>
    <mergeCell ref="F32:I32"/>
    <mergeCell ref="B31:E31"/>
    <mergeCell ref="B32:E32"/>
    <mergeCell ref="F33:I33"/>
    <mergeCell ref="F34:I34"/>
    <mergeCell ref="B29:D29"/>
    <mergeCell ref="F29:H29"/>
    <mergeCell ref="B27:D27"/>
    <mergeCell ref="C18:E19"/>
    <mergeCell ref="G18:I19"/>
    <mergeCell ref="B20:I20"/>
    <mergeCell ref="D2:I3"/>
    <mergeCell ref="B9:E9"/>
    <mergeCell ref="F9:I9"/>
    <mergeCell ref="H21:I21"/>
    <mergeCell ref="D4:I4"/>
    <mergeCell ref="C14:E14"/>
    <mergeCell ref="C15:E15"/>
    <mergeCell ref="C17:E17"/>
    <mergeCell ref="H8:I8"/>
    <mergeCell ref="G14:I14"/>
    <mergeCell ref="C12:E12"/>
    <mergeCell ref="C13:E13"/>
    <mergeCell ref="G13:I13"/>
    <mergeCell ref="G17:I17"/>
    <mergeCell ref="G15:I15"/>
    <mergeCell ref="B10:E11"/>
    <mergeCell ref="B51:D51"/>
    <mergeCell ref="F51:H51"/>
    <mergeCell ref="B25:I25"/>
    <mergeCell ref="B5:I5"/>
    <mergeCell ref="B6:G6"/>
    <mergeCell ref="B7:G7"/>
    <mergeCell ref="B8:G8"/>
    <mergeCell ref="H6:I6"/>
    <mergeCell ref="H7:I7"/>
    <mergeCell ref="B22:I22"/>
    <mergeCell ref="G12:I12"/>
    <mergeCell ref="B26:E26"/>
    <mergeCell ref="F26:I26"/>
    <mergeCell ref="B28:D28"/>
    <mergeCell ref="F27:H27"/>
    <mergeCell ref="F28:H28"/>
    <mergeCell ref="K3:N3"/>
    <mergeCell ref="B21:F21"/>
    <mergeCell ref="B55:G55"/>
    <mergeCell ref="H55:I55"/>
    <mergeCell ref="B46:I47"/>
    <mergeCell ref="B52:D52"/>
    <mergeCell ref="F52:H52"/>
    <mergeCell ref="B53:D53"/>
    <mergeCell ref="F53:H53"/>
    <mergeCell ref="B54:E54"/>
    <mergeCell ref="F54:I54"/>
    <mergeCell ref="B48:I48"/>
    <mergeCell ref="B49:E49"/>
    <mergeCell ref="F49:I49"/>
    <mergeCell ref="B50:D50"/>
    <mergeCell ref="F50:H50"/>
  </mergeCell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69"/>
  <sheetViews>
    <sheetView topLeftCell="A4" workbookViewId="0">
      <selection activeCell="G4" sqref="G4"/>
    </sheetView>
  </sheetViews>
  <sheetFormatPr defaultRowHeight="13.2"/>
  <cols>
    <col min="1" max="1" width="4.33203125" customWidth="1"/>
    <col min="2" max="2" width="9.5546875" customWidth="1"/>
    <col min="3" max="3" width="8.5546875" customWidth="1"/>
    <col min="4" max="4" width="8.6640625" customWidth="1"/>
    <col min="5" max="5" width="11.109375" customWidth="1"/>
    <col min="6" max="6" width="11" customWidth="1"/>
    <col min="7" max="7" width="9.6640625" style="78" customWidth="1"/>
    <col min="8" max="9" width="11.5546875" customWidth="1"/>
    <col min="10" max="10" width="11.6640625" style="78" customWidth="1"/>
    <col min="11" max="11" width="10.33203125" customWidth="1"/>
    <col min="12" max="12" width="11.88671875" customWidth="1"/>
    <col min="13" max="14" width="10.6640625" customWidth="1"/>
    <col min="15" max="15" width="10.6640625" style="1" customWidth="1"/>
    <col min="17" max="17" width="5.6640625" customWidth="1"/>
    <col min="18" max="18" width="12.33203125" bestFit="1" customWidth="1"/>
    <col min="19" max="19" width="13" customWidth="1"/>
    <col min="20" max="20" width="14.33203125" customWidth="1"/>
    <col min="21" max="21" width="13.6640625" customWidth="1"/>
    <col min="22" max="22" width="10.6640625" bestFit="1" customWidth="1"/>
    <col min="23" max="23" width="11" customWidth="1"/>
    <col min="24" max="25" width="11.6640625" customWidth="1"/>
    <col min="27" max="27" width="9.6640625" style="3" customWidth="1"/>
    <col min="28" max="29" width="10.5546875" style="3" customWidth="1"/>
    <col min="30" max="30" width="11.6640625" style="3" customWidth="1"/>
    <col min="31" max="31" width="11.33203125" style="3" customWidth="1"/>
  </cols>
  <sheetData>
    <row r="1" spans="1:32" ht="8.25" customHeight="1" thickBot="1"/>
    <row r="2" spans="1:32" ht="17.25" customHeight="1" thickBot="1">
      <c r="A2" s="938" t="s">
        <v>3620</v>
      </c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40"/>
      <c r="X2" s="1"/>
    </row>
    <row r="3" spans="1:32" ht="20.7" customHeight="1" thickBot="1">
      <c r="A3" s="891" t="s">
        <v>10</v>
      </c>
      <c r="B3" s="892"/>
      <c r="C3" s="892"/>
      <c r="D3" s="351">
        <v>300000</v>
      </c>
      <c r="E3" s="892" t="s">
        <v>13</v>
      </c>
      <c r="F3" s="892"/>
      <c r="G3" s="343">
        <v>1200</v>
      </c>
      <c r="H3" s="892" t="s">
        <v>16</v>
      </c>
      <c r="I3" s="892"/>
      <c r="J3" s="892"/>
      <c r="K3" s="343">
        <v>225000</v>
      </c>
      <c r="L3" s="941" t="s">
        <v>3621</v>
      </c>
      <c r="M3" s="941"/>
      <c r="N3" s="373">
        <v>0.3</v>
      </c>
      <c r="Q3" s="893" t="s">
        <v>32</v>
      </c>
      <c r="R3" s="894"/>
      <c r="S3" s="894"/>
      <c r="T3" s="894"/>
      <c r="U3" s="894"/>
      <c r="V3" s="895"/>
      <c r="W3" s="896" t="s">
        <v>4</v>
      </c>
      <c r="X3" s="897"/>
      <c r="Y3" s="28">
        <v>500000</v>
      </c>
    </row>
    <row r="4" spans="1:32">
      <c r="A4" s="899" t="s">
        <v>7</v>
      </c>
      <c r="B4" s="900"/>
      <c r="C4" s="900"/>
      <c r="D4" s="352">
        <v>0.03</v>
      </c>
      <c r="E4" s="900" t="s">
        <v>17</v>
      </c>
      <c r="F4" s="900"/>
      <c r="G4" s="353">
        <v>0.01</v>
      </c>
      <c r="H4" s="900" t="s">
        <v>6</v>
      </c>
      <c r="I4" s="900"/>
      <c r="J4" s="900"/>
      <c r="K4" s="367">
        <v>0.05</v>
      </c>
      <c r="L4" s="942" t="s">
        <v>3622</v>
      </c>
      <c r="M4" s="942"/>
      <c r="N4" s="374">
        <v>0.15</v>
      </c>
      <c r="Q4" s="887" t="s">
        <v>18</v>
      </c>
      <c r="R4" s="888"/>
      <c r="S4" s="88">
        <v>4.4999999999999998E-2</v>
      </c>
      <c r="T4" s="889" t="s">
        <v>20</v>
      </c>
      <c r="U4" s="890"/>
      <c r="V4" s="26">
        <f>PMT(S4/12,S5*12,-Y3,0)</f>
        <v>2533.4265491294036</v>
      </c>
      <c r="W4" s="889" t="s">
        <v>22</v>
      </c>
      <c r="X4" s="890"/>
      <c r="Y4" s="25">
        <v>0.12</v>
      </c>
      <c r="AF4" s="1"/>
    </row>
    <row r="5" spans="1:32" ht="13.8" thickBot="1">
      <c r="A5" s="899" t="s">
        <v>9</v>
      </c>
      <c r="B5" s="900"/>
      <c r="C5" s="900"/>
      <c r="D5" s="354">
        <v>5.7000000000000002E-3</v>
      </c>
      <c r="E5" s="900" t="s">
        <v>3624</v>
      </c>
      <c r="F5" s="900"/>
      <c r="G5" s="344">
        <v>0.02</v>
      </c>
      <c r="H5" s="406" t="s">
        <v>3628</v>
      </c>
      <c r="I5" s="900" t="s">
        <v>15</v>
      </c>
      <c r="J5" s="900"/>
      <c r="K5" s="345">
        <v>30</v>
      </c>
      <c r="L5" s="942" t="s">
        <v>3625</v>
      </c>
      <c r="M5" s="942"/>
      <c r="N5" s="375">
        <v>0.12</v>
      </c>
      <c r="Q5" s="901" t="s">
        <v>19</v>
      </c>
      <c r="R5" s="902"/>
      <c r="S5" s="22">
        <v>30</v>
      </c>
      <c r="T5" s="903" t="s">
        <v>21</v>
      </c>
      <c r="U5" s="904"/>
      <c r="V5" s="22">
        <v>100</v>
      </c>
      <c r="W5" s="903" t="s">
        <v>80</v>
      </c>
      <c r="X5" s="904"/>
      <c r="Y5" s="27">
        <v>0.33</v>
      </c>
      <c r="AA5" s="927"/>
      <c r="AB5" s="927"/>
      <c r="AC5" s="927"/>
      <c r="AD5" s="927"/>
      <c r="AE5" s="927"/>
      <c r="AF5" s="1"/>
    </row>
    <row r="6" spans="1:32" ht="13.8" thickBot="1">
      <c r="A6" s="933" t="s">
        <v>12</v>
      </c>
      <c r="B6" s="907"/>
      <c r="C6" s="907"/>
      <c r="D6" s="355">
        <v>0.05</v>
      </c>
      <c r="E6" s="907" t="s">
        <v>3627</v>
      </c>
      <c r="F6" s="907"/>
      <c r="G6" s="407">
        <v>8000</v>
      </c>
      <c r="H6" s="424">
        <v>0.24</v>
      </c>
      <c r="I6" s="937" t="s">
        <v>14</v>
      </c>
      <c r="J6" s="937"/>
      <c r="K6" s="369">
        <f>PMT(K4/12,K5*12,-K3,0)</f>
        <v>1207.8486517773129</v>
      </c>
      <c r="L6" s="943" t="s">
        <v>3626</v>
      </c>
      <c r="M6" s="943"/>
      <c r="N6" s="376">
        <v>0</v>
      </c>
      <c r="Q6" s="6"/>
      <c r="R6" s="928" t="s">
        <v>33</v>
      </c>
      <c r="S6" s="928"/>
      <c r="T6" s="928"/>
      <c r="U6" s="928"/>
      <c r="V6" s="928"/>
      <c r="W6" s="928"/>
      <c r="X6" s="928"/>
      <c r="Y6" s="929"/>
      <c r="AA6" s="927"/>
      <c r="AB6" s="927"/>
      <c r="AC6" s="927"/>
      <c r="AD6" s="927"/>
      <c r="AE6" s="927"/>
      <c r="AF6" s="1"/>
    </row>
    <row r="7" spans="1:32" ht="13.95" customHeight="1" thickBot="1">
      <c r="A7" s="19"/>
      <c r="B7" s="912" t="s">
        <v>3623</v>
      </c>
      <c r="C7" s="913"/>
      <c r="D7" s="913"/>
      <c r="E7" s="913"/>
      <c r="F7" s="913"/>
      <c r="G7" s="913"/>
      <c r="H7" s="913"/>
      <c r="I7" s="914"/>
      <c r="J7" s="908" t="s">
        <v>3649</v>
      </c>
      <c r="K7" s="909"/>
      <c r="L7" s="910"/>
      <c r="M7" s="910"/>
      <c r="N7" s="911"/>
      <c r="Q7" s="8"/>
      <c r="R7" s="930" t="s">
        <v>23</v>
      </c>
      <c r="S7" s="930"/>
      <c r="T7" s="930"/>
      <c r="U7" s="930"/>
      <c r="V7" s="930"/>
      <c r="W7" s="930"/>
      <c r="X7" s="930"/>
      <c r="Y7" s="931"/>
      <c r="AA7" s="898"/>
      <c r="AB7" s="898"/>
      <c r="AC7" s="43"/>
      <c r="AF7" s="1"/>
    </row>
    <row r="8" spans="1:32" ht="16.2" customHeight="1" thickBot="1">
      <c r="A8" s="356" t="s">
        <v>5</v>
      </c>
      <c r="B8" s="934" t="s">
        <v>0</v>
      </c>
      <c r="C8" s="935"/>
      <c r="D8" s="935"/>
      <c r="E8" s="935"/>
      <c r="F8" s="936"/>
      <c r="G8" s="926" t="s">
        <v>4</v>
      </c>
      <c r="H8" s="924" t="s">
        <v>11</v>
      </c>
      <c r="I8" s="932" t="s">
        <v>3633</v>
      </c>
      <c r="J8" s="368" t="s">
        <v>3634</v>
      </c>
      <c r="K8" s="428" t="s">
        <v>3635</v>
      </c>
      <c r="L8" s="430" t="s">
        <v>84</v>
      </c>
      <c r="M8" s="431" t="s">
        <v>3636</v>
      </c>
      <c r="N8" s="404" t="s">
        <v>3639</v>
      </c>
      <c r="Q8" s="29"/>
      <c r="R8" s="915" t="s">
        <v>4</v>
      </c>
      <c r="S8" s="916"/>
      <c r="T8" s="919" t="s">
        <v>26</v>
      </c>
      <c r="U8" s="23" t="s">
        <v>27</v>
      </c>
      <c r="V8" s="922" t="s">
        <v>31</v>
      </c>
      <c r="W8" s="915"/>
      <c r="X8" s="916"/>
      <c r="Y8" s="24" t="s">
        <v>29</v>
      </c>
      <c r="AA8" s="898"/>
      <c r="AB8" s="898"/>
      <c r="AC8" s="4"/>
      <c r="AF8" s="1"/>
    </row>
    <row r="9" spans="1:32" ht="18" customHeight="1" thickBot="1">
      <c r="A9" s="361"/>
      <c r="B9" s="412" t="s">
        <v>8</v>
      </c>
      <c r="C9" s="413" t="s">
        <v>3629</v>
      </c>
      <c r="D9" s="414" t="s">
        <v>3630</v>
      </c>
      <c r="E9" s="415" t="s">
        <v>3631</v>
      </c>
      <c r="F9" s="334" t="s">
        <v>3632</v>
      </c>
      <c r="G9" s="926"/>
      <c r="H9" s="925"/>
      <c r="I9" s="932"/>
      <c r="J9" s="434">
        <v>7.0000000000000007E-2</v>
      </c>
      <c r="K9" s="429">
        <v>1988</v>
      </c>
      <c r="L9" s="405" t="s">
        <v>3637</v>
      </c>
      <c r="M9" s="432" t="s">
        <v>3638</v>
      </c>
      <c r="N9" s="433">
        <v>-0.01</v>
      </c>
      <c r="O9" s="418"/>
      <c r="Q9" s="29" t="s">
        <v>3</v>
      </c>
      <c r="R9" s="917"/>
      <c r="S9" s="918"/>
      <c r="T9" s="920"/>
      <c r="U9" s="905" t="s">
        <v>28</v>
      </c>
      <c r="V9" s="923"/>
      <c r="W9" s="917"/>
      <c r="X9" s="918"/>
      <c r="Y9" s="905" t="s">
        <v>30</v>
      </c>
      <c r="AA9" s="898"/>
      <c r="AB9" s="898"/>
      <c r="AF9" s="1"/>
    </row>
    <row r="10" spans="1:32" ht="15.75" customHeight="1" thickBot="1">
      <c r="A10" s="357">
        <v>1</v>
      </c>
      <c r="B10" s="346">
        <f>G3</f>
        <v>1200</v>
      </c>
      <c r="C10" s="319">
        <f t="shared" ref="C10:C39" si="0">K$6+H10/(1+D$4)*(D$5+G$4)/12</f>
        <v>1600.3486517773129</v>
      </c>
      <c r="D10" s="410">
        <f>B10-C10</f>
        <v>-400.34865177731285</v>
      </c>
      <c r="E10" s="363">
        <f>((K$6*12-(K$3-G10))*N$3+G$6*H$6)/12</f>
        <v>439.36529484502245</v>
      </c>
      <c r="F10" s="362">
        <f>D10+E10</f>
        <v>39.016643067709595</v>
      </c>
      <c r="G10" s="408">
        <f t="shared" ref="G10:G39" si="1">FV(K$4/12,12*A10,K$6,-K$3,0)</f>
        <v>221680.42797247315</v>
      </c>
      <c r="H10" s="358">
        <f>D3*(1+D4)</f>
        <v>309000</v>
      </c>
      <c r="I10" s="360">
        <f>H10*(1-D$6)-G10-(H10-D$3)*N$4-G$6*A10*MAX(H$6,N$3)</f>
        <v>68119.572027526854</v>
      </c>
      <c r="J10" s="416">
        <f>FV((1+J$9)^(1/12)-1,12,F10,-(D3-K3),0)</f>
        <v>79766.962365201398</v>
      </c>
      <c r="K10" s="377">
        <f>LOOKUP(K$9+A10-1,Investment!AG$7:AG$99,Investment!AH$7:AH$99)</f>
        <v>0.16539999999999999</v>
      </c>
      <c r="L10" s="370">
        <f>FV((1+K10)^(1/12)-1,12,F10,-(D3-K3),0)</f>
        <v>86902.287376356078</v>
      </c>
      <c r="M10" s="379">
        <f>FV((1+IF(K10&gt;N$5,N$5,IF(K10&lt;N$6,N$6,K10)))^(1/12)-1,12,F10,-(D3-K3),0)</f>
        <v>83506.576105053347</v>
      </c>
      <c r="N10" s="371">
        <f>FV((1+IF(K10&gt;N$5,N$5,IF(K10&lt;N$6,N$6,K10))+N$9)^(1/12)-1,12,F10,-(D3-K3),0)</f>
        <v>82758.639917991852</v>
      </c>
      <c r="Q10" s="21"/>
      <c r="R10" s="348" t="s">
        <v>24</v>
      </c>
      <c r="S10" s="22" t="s">
        <v>25</v>
      </c>
      <c r="T10" s="921"/>
      <c r="U10" s="906"/>
      <c r="V10" s="347" t="s">
        <v>24</v>
      </c>
      <c r="W10" s="348" t="s">
        <v>25</v>
      </c>
      <c r="X10" s="22" t="s">
        <v>34</v>
      </c>
      <c r="Y10" s="906"/>
      <c r="AA10" s="41"/>
      <c r="AB10" s="41"/>
      <c r="AC10" s="41"/>
      <c r="AD10" s="41"/>
      <c r="AF10" s="1"/>
    </row>
    <row r="11" spans="1:32" ht="15" customHeight="1">
      <c r="A11" s="361">
        <v>2</v>
      </c>
      <c r="B11" s="346">
        <f>B10*(1+G$5)</f>
        <v>1224</v>
      </c>
      <c r="C11" s="319">
        <f t="shared" si="0"/>
        <v>1612.1236517773127</v>
      </c>
      <c r="D11" s="410">
        <f t="shared" ref="D11:D59" si="2">B11-C11</f>
        <v>-388.12365177731272</v>
      </c>
      <c r="E11" s="363">
        <f>((K$6*12-(G10-G11))*N$3+G$6*H$6)/12</f>
        <v>435.11940471793793</v>
      </c>
      <c r="F11" s="362">
        <f t="shared" ref="F11:F59" si="3">D11+E11</f>
        <v>46.995752940625209</v>
      </c>
      <c r="G11" s="409">
        <f t="shared" si="1"/>
        <v>218191.02033986291</v>
      </c>
      <c r="H11" s="319">
        <f t="shared" ref="H11:H42" si="4">H10*(1+D$4)</f>
        <v>318270</v>
      </c>
      <c r="I11" s="364">
        <f t="shared" ref="I11:I39" si="5">H11*(1-D$6)-G11-(H11-D$3)*N$4-G$6*A11*MAX(H$6,N$3)</f>
        <v>76624.979660137091</v>
      </c>
      <c r="J11" s="417">
        <f t="shared" ref="J11:J42" si="6">FV((1+J$9)^(1/12)-1,12,F11,-J10,0)</f>
        <v>84768.828344783513</v>
      </c>
      <c r="K11" s="378">
        <f>LOOKUP(K$9+A11-1,Investment!AG$7:AG$99,Investment!AH$7:AH$99)</f>
        <v>0.31480000000000002</v>
      </c>
      <c r="L11" s="370">
        <f t="shared" ref="L11:L42" si="7">FV((1+K11)^(1/12)-1,12,F11,-L10,0)</f>
        <v>113617.82575869409</v>
      </c>
      <c r="M11" s="379">
        <f t="shared" ref="M11:M42" si="8">FV((1+IF(K11&gt;N$5,N$5,IF(K11&lt;N$6,N$6,K11)))^(1/12)-1,12,F11,-M10,0)</f>
        <v>92933.033546394756</v>
      </c>
      <c r="N11" s="372">
        <f t="shared" ref="N11:N42" si="9">FV((1+IF(K11&gt;N$5,N$5,IF(K11&lt;N$6,N$6,K11))+N$9)^(1/12)-1,12,F11,-N10,0)</f>
        <v>91270.244491306279</v>
      </c>
      <c r="Q11" s="29">
        <v>1</v>
      </c>
      <c r="R11" s="38">
        <f t="shared" ref="R11:R40" si="10">FV(S$4/12,Q11*12,V$4,-Y$3)</f>
        <v>491933.86654157762</v>
      </c>
      <c r="S11" s="38">
        <f t="shared" ref="S11:S40" si="11">FV(S$4/12,Q11*12,V$4+V$5,-Y$3)</f>
        <v>490708.80454049521</v>
      </c>
      <c r="T11" s="30">
        <f t="shared" ref="T11:T40" si="12">FV((1+Y$4)^(1/12)-1,Q11*12,-V$5,0)</f>
        <v>1264.6497908353235</v>
      </c>
      <c r="U11" s="38">
        <f>S11-R11+T11</f>
        <v>39.587789752917615</v>
      </c>
      <c r="V11" s="34">
        <f>(V4*12-Y3+R11)*Y5</f>
        <v>7370.5450932730446</v>
      </c>
      <c r="W11" s="38">
        <f>((V4+V5)*12-Y3+S11)*Y5</f>
        <v>7362.2746329158508</v>
      </c>
      <c r="X11" s="33">
        <f>(V11-W11)</f>
        <v>8.2704603571937696</v>
      </c>
      <c r="Y11" s="33">
        <f>U11+X11</f>
        <v>47.858250110111385</v>
      </c>
      <c r="AB11" s="42"/>
      <c r="AD11" s="42"/>
      <c r="AE11" s="43"/>
      <c r="AF11" s="1"/>
    </row>
    <row r="12" spans="1:32">
      <c r="A12" s="361">
        <v>3</v>
      </c>
      <c r="B12" s="346">
        <f>B11*(1+G$5)</f>
        <v>1248.48</v>
      </c>
      <c r="C12" s="319">
        <f t="shared" si="0"/>
        <v>1624.2519017773129</v>
      </c>
      <c r="D12" s="410">
        <f t="shared" si="2"/>
        <v>-375.77190177731291</v>
      </c>
      <c r="E12" s="363">
        <f t="shared" ref="E12:E39" si="13">((K$6*12-(G11-G12))*N$3+G$6*H$6)/12</f>
        <v>430.65628679375521</v>
      </c>
      <c r="F12" s="362">
        <f t="shared" si="3"/>
        <v>54.884385016442309</v>
      </c>
      <c r="G12" s="409">
        <f t="shared" si="1"/>
        <v>214523.08799028536</v>
      </c>
      <c r="H12" s="319">
        <f t="shared" si="4"/>
        <v>327818.10000000003</v>
      </c>
      <c r="I12" s="364">
        <f t="shared" si="5"/>
        <v>85531.392009714633</v>
      </c>
      <c r="J12" s="417">
        <f t="shared" si="6"/>
        <v>90023.161333766155</v>
      </c>
      <c r="K12" s="378">
        <f>LOOKUP(K$9+A12-1,Investment!AG$7:AG$99,Investment!AH$7:AH$99)</f>
        <v>-3.0599999999999999E-2</v>
      </c>
      <c r="L12" s="370">
        <f t="shared" si="7"/>
        <v>109491.79654322984</v>
      </c>
      <c r="M12" s="379">
        <f t="shared" si="8"/>
        <v>92274.420926197447</v>
      </c>
      <c r="N12" s="372">
        <f t="shared" si="9"/>
        <v>89701.953545121534</v>
      </c>
      <c r="Q12" s="29">
        <v>2</v>
      </c>
      <c r="R12" s="38">
        <f t="shared" si="10"/>
        <v>483497.1763233213</v>
      </c>
      <c r="S12" s="38">
        <f t="shared" si="11"/>
        <v>480990.77318716294</v>
      </c>
      <c r="T12" s="30">
        <f t="shared" si="12"/>
        <v>2681.0575565708859</v>
      </c>
      <c r="U12" s="38">
        <f t="shared" ref="U12:U40" si="14">S12-R12+T12</f>
        <v>174.6544204125239</v>
      </c>
      <c r="V12" s="34">
        <f t="shared" ref="V12:V40" si="15">(V$4*12-R11+R12)*Y$5</f>
        <v>7248.2613625278445</v>
      </c>
      <c r="W12" s="38">
        <f t="shared" ref="W12:W40" si="16">((V$4+V$5)*12-S11+S12)*Y$5</f>
        <v>7221.418787952779</v>
      </c>
      <c r="X12" s="33">
        <f t="shared" ref="X12:X40" si="17">X11*(1+Y$4)+V12-W12</f>
        <v>36.105490175122213</v>
      </c>
      <c r="Y12" s="33">
        <f t="shared" ref="Y12:Y40" si="18">U12+X12</f>
        <v>210.75991058764612</v>
      </c>
      <c r="AA12" s="41"/>
      <c r="AB12" s="898"/>
      <c r="AC12" s="898"/>
      <c r="AD12" s="898"/>
      <c r="AF12" s="1"/>
    </row>
    <row r="13" spans="1:32">
      <c r="A13" s="361">
        <v>4</v>
      </c>
      <c r="B13" s="346">
        <f t="shared" ref="B13:B59" si="19">B12*(1+G$5)</f>
        <v>1273.4496000000001</v>
      </c>
      <c r="C13" s="319">
        <f t="shared" si="0"/>
        <v>1636.7439992773129</v>
      </c>
      <c r="D13" s="410">
        <f t="shared" si="2"/>
        <v>-363.29439927731278</v>
      </c>
      <c r="E13" s="363">
        <f t="shared" si="13"/>
        <v>425.96482728609925</v>
      </c>
      <c r="F13" s="362">
        <f t="shared" si="3"/>
        <v>62.670428008786473</v>
      </c>
      <c r="G13" s="409">
        <f t="shared" si="1"/>
        <v>210667.49726040158</v>
      </c>
      <c r="H13" s="319">
        <f t="shared" si="4"/>
        <v>337652.64300000004</v>
      </c>
      <c r="I13" s="364">
        <f t="shared" si="5"/>
        <v>94854.617139598442</v>
      </c>
      <c r="J13" s="417">
        <f t="shared" si="6"/>
        <v>95548.904106144633</v>
      </c>
      <c r="K13" s="378">
        <f>LOOKUP(K$9+A13-1,Investment!AG$7:AG$99,Investment!AH$7:AH$99)</f>
        <v>0.30230000000000001</v>
      </c>
      <c r="L13" s="370">
        <f t="shared" si="7"/>
        <v>141739.88600694251</v>
      </c>
      <c r="M13" s="379">
        <f t="shared" si="8"/>
        <v>102554.79000061256</v>
      </c>
      <c r="N13" s="372">
        <f t="shared" si="9"/>
        <v>98779.921994983873</v>
      </c>
      <c r="Q13" s="29">
        <v>3</v>
      </c>
      <c r="R13" s="38">
        <f t="shared" si="10"/>
        <v>474672.90603251656</v>
      </c>
      <c r="S13" s="38">
        <f t="shared" si="11"/>
        <v>470826.2971737195</v>
      </c>
      <c r="T13" s="30">
        <f t="shared" si="12"/>
        <v>4267.4342541947226</v>
      </c>
      <c r="U13" s="38">
        <f t="shared" si="14"/>
        <v>420.82539539766367</v>
      </c>
      <c r="V13" s="34">
        <f t="shared" si="15"/>
        <v>7120.3599385868674</v>
      </c>
      <c r="W13" s="38">
        <f t="shared" si="16"/>
        <v>7074.0920501160972</v>
      </c>
      <c r="X13" s="33">
        <f t="shared" si="17"/>
        <v>86.706037466907219</v>
      </c>
      <c r="Y13" s="33">
        <f t="shared" si="18"/>
        <v>507.53143286457089</v>
      </c>
      <c r="AB13" s="41"/>
      <c r="AC13" s="41"/>
      <c r="AF13" s="1"/>
    </row>
    <row r="14" spans="1:32" ht="13.8" thickBot="1">
      <c r="A14" s="365">
        <v>5</v>
      </c>
      <c r="B14" s="346">
        <f t="shared" si="19"/>
        <v>1298.9185920000002</v>
      </c>
      <c r="C14" s="319">
        <f t="shared" si="0"/>
        <v>1649.6108597023128</v>
      </c>
      <c r="D14" s="410">
        <f t="shared" si="2"/>
        <v>-350.69226770231262</v>
      </c>
      <c r="E14" s="363">
        <f t="shared" si="13"/>
        <v>421.03334380619782</v>
      </c>
      <c r="F14" s="362">
        <f t="shared" si="3"/>
        <v>70.3410761038852</v>
      </c>
      <c r="G14" s="409">
        <f t="shared" si="1"/>
        <v>206614.64719132174</v>
      </c>
      <c r="H14" s="319">
        <f t="shared" si="4"/>
        <v>347782.22229000006</v>
      </c>
      <c r="I14" s="364">
        <f t="shared" si="5"/>
        <v>104611.13064067828</v>
      </c>
      <c r="J14" s="417">
        <f t="shared" si="6"/>
        <v>101366.48396987363</v>
      </c>
      <c r="K14" s="378">
        <f>LOOKUP(K$9+A14-1,Investment!AG$7:AG$99,Investment!AH$7:AH$99)</f>
        <v>7.4899999999999994E-2</v>
      </c>
      <c r="L14" s="370">
        <f t="shared" si="7"/>
        <v>151483.51140828777</v>
      </c>
      <c r="M14" s="379">
        <f t="shared" si="8"/>
        <v>109363.45171108375</v>
      </c>
      <c r="N14" s="372">
        <f t="shared" si="9"/>
        <v>104321.82281955208</v>
      </c>
      <c r="Q14" s="29">
        <v>4</v>
      </c>
      <c r="R14" s="38">
        <f t="shared" si="10"/>
        <v>465443.25030844141</v>
      </c>
      <c r="S14" s="38">
        <f t="shared" si="11"/>
        <v>460194.86691058922</v>
      </c>
      <c r="T14" s="30">
        <f t="shared" si="12"/>
        <v>6044.1761555334178</v>
      </c>
      <c r="U14" s="38">
        <f t="shared" si="14"/>
        <v>795.7927576812308</v>
      </c>
      <c r="V14" s="34">
        <f t="shared" si="15"/>
        <v>6986.5827456076286</v>
      </c>
      <c r="W14" s="38">
        <f t="shared" si="16"/>
        <v>6919.9971477194358</v>
      </c>
      <c r="X14" s="33">
        <f t="shared" si="17"/>
        <v>163.69635985112927</v>
      </c>
      <c r="Y14" s="33">
        <f t="shared" si="18"/>
        <v>959.48911753236007</v>
      </c>
      <c r="AB14" s="44"/>
      <c r="AC14" s="44"/>
      <c r="AD14" s="44"/>
      <c r="AE14" s="44"/>
      <c r="AF14" s="1"/>
    </row>
    <row r="15" spans="1:32" ht="13.8" thickBot="1">
      <c r="A15" s="361">
        <v>6</v>
      </c>
      <c r="B15" s="346">
        <f t="shared" si="19"/>
        <v>1324.8969638400004</v>
      </c>
      <c r="C15" s="319">
        <f t="shared" si="0"/>
        <v>1662.863725940063</v>
      </c>
      <c r="D15" s="410">
        <f t="shared" si="2"/>
        <v>-337.96676210006262</v>
      </c>
      <c r="E15" s="363">
        <f t="shared" si="13"/>
        <v>415.84955627209212</v>
      </c>
      <c r="F15" s="362">
        <f t="shared" si="3"/>
        <v>77.882794172029492</v>
      </c>
      <c r="G15" s="409">
        <f t="shared" si="1"/>
        <v>202354.44562087767</v>
      </c>
      <c r="H15" s="319">
        <f t="shared" si="4"/>
        <v>358215.68895870005</v>
      </c>
      <c r="I15" s="364">
        <f t="shared" si="5"/>
        <v>114818.10554608237</v>
      </c>
      <c r="J15" s="417">
        <f t="shared" si="6"/>
        <v>107497.92571339237</v>
      </c>
      <c r="K15" s="378">
        <f>LOOKUP(K$9+A15-1,Investment!AG$7:AG$99,Investment!AH$7:AH$99)</f>
        <v>9.9699999999999997E-2</v>
      </c>
      <c r="L15" s="370">
        <f t="shared" si="7"/>
        <v>165609.84965709361</v>
      </c>
      <c r="M15" s="379">
        <f t="shared" si="8"/>
        <v>119290.42000807841</v>
      </c>
      <c r="N15" s="372">
        <f t="shared" si="9"/>
        <v>112707.06920040483</v>
      </c>
      <c r="Q15" s="29">
        <v>5</v>
      </c>
      <c r="R15" s="38">
        <f t="shared" si="10"/>
        <v>455789.58581521735</v>
      </c>
      <c r="S15" s="38">
        <f t="shared" si="11"/>
        <v>449075.03060123953</v>
      </c>
      <c r="T15" s="30">
        <f t="shared" si="12"/>
        <v>8034.1270850327601</v>
      </c>
      <c r="U15" s="38">
        <f t="shared" si="14"/>
        <v>1319.5718710549445</v>
      </c>
      <c r="V15" s="34">
        <f t="shared" si="15"/>
        <v>6846.6598517884904</v>
      </c>
      <c r="W15" s="38">
        <f t="shared" si="16"/>
        <v>6758.8231524670327</v>
      </c>
      <c r="X15" s="33">
        <f t="shared" si="17"/>
        <v>271.17662235472289</v>
      </c>
      <c r="Y15" s="33">
        <f t="shared" si="18"/>
        <v>1590.7484934096674</v>
      </c>
      <c r="AB15" s="44"/>
      <c r="AC15" s="44"/>
      <c r="AD15" s="44"/>
      <c r="AE15" s="44"/>
      <c r="AF15" s="1"/>
    </row>
    <row r="16" spans="1:32">
      <c r="A16" s="361">
        <v>7</v>
      </c>
      <c r="B16" s="346">
        <f t="shared" si="19"/>
        <v>1351.3949031168004</v>
      </c>
      <c r="C16" s="319">
        <f t="shared" si="0"/>
        <v>1676.5141781649454</v>
      </c>
      <c r="D16" s="410">
        <f t="shared" si="2"/>
        <v>-325.11927504814503</v>
      </c>
      <c r="E16" s="363">
        <f t="shared" si="13"/>
        <v>410.40055632952573</v>
      </c>
      <c r="F16" s="362">
        <f t="shared" si="3"/>
        <v>85.2812812813807</v>
      </c>
      <c r="G16" s="409">
        <f t="shared" si="1"/>
        <v>197876.28405273095</v>
      </c>
      <c r="H16" s="319">
        <f t="shared" si="4"/>
        <v>368962.15962746105</v>
      </c>
      <c r="I16" s="364">
        <f t="shared" si="5"/>
        <v>125493.44364923786</v>
      </c>
      <c r="J16" s="417">
        <f t="shared" si="6"/>
        <v>113966.97291011641</v>
      </c>
      <c r="K16" s="378">
        <f>LOOKUP(K$9+A16-1,Investment!AG$7:AG$99,Investment!AH$7:AH$99)</f>
        <v>1.3299999999999999E-2</v>
      </c>
      <c r="L16" s="370">
        <f t="shared" si="7"/>
        <v>166782.86183828619</v>
      </c>
      <c r="M16" s="379">
        <f t="shared" si="8"/>
        <v>119847.38377493917</v>
      </c>
      <c r="N16" s="372">
        <f t="shared" si="9"/>
        <v>112054.08021887956</v>
      </c>
      <c r="Q16" s="20">
        <v>6</v>
      </c>
      <c r="R16" s="40">
        <f t="shared" si="10"/>
        <v>445692.43366417405</v>
      </c>
      <c r="S16" s="40">
        <f t="shared" si="11"/>
        <v>437444.35095735837</v>
      </c>
      <c r="T16" s="18">
        <f t="shared" si="12"/>
        <v>10262.872126072027</v>
      </c>
      <c r="U16" s="40">
        <f t="shared" si="14"/>
        <v>2014.7894192563472</v>
      </c>
      <c r="V16" s="31">
        <f t="shared" si="15"/>
        <v>6700.3089247081434</v>
      </c>
      <c r="W16" s="40">
        <f t="shared" si="16"/>
        <v>6590.244852071648</v>
      </c>
      <c r="X16" s="32">
        <f t="shared" si="17"/>
        <v>413.78188967378537</v>
      </c>
      <c r="Y16" s="32">
        <f t="shared" si="18"/>
        <v>2428.5713089301325</v>
      </c>
      <c r="AB16" s="44"/>
      <c r="AC16" s="44"/>
      <c r="AD16" s="44"/>
      <c r="AE16" s="44"/>
      <c r="AF16" s="1"/>
    </row>
    <row r="17" spans="1:32">
      <c r="A17" s="361">
        <v>8</v>
      </c>
      <c r="B17" s="346">
        <f t="shared" si="19"/>
        <v>1378.4228011791365</v>
      </c>
      <c r="C17" s="319">
        <f t="shared" si="0"/>
        <v>1690.5741439565743</v>
      </c>
      <c r="D17" s="410">
        <f t="shared" si="2"/>
        <v>-312.15134277743778</v>
      </c>
      <c r="E17" s="363">
        <f t="shared" si="13"/>
        <v>404.67277520833892</v>
      </c>
      <c r="F17" s="362">
        <f t="shared" si="3"/>
        <v>92.521432430901143</v>
      </c>
      <c r="G17" s="409">
        <f t="shared" si="1"/>
        <v>193169.01123973675</v>
      </c>
      <c r="H17" s="319">
        <f t="shared" si="4"/>
        <v>380031.02441628487</v>
      </c>
      <c r="I17" s="364">
        <f t="shared" si="5"/>
        <v>136655.80829329116</v>
      </c>
      <c r="J17" s="417">
        <f t="shared" si="6"/>
        <v>120799.21818800166</v>
      </c>
      <c r="K17" s="378">
        <f>LOOKUP(K$9+A17-1,Investment!AG$7:AG$99,Investment!AH$7:AH$99)</f>
        <v>0.372</v>
      </c>
      <c r="L17" s="370">
        <f t="shared" si="7"/>
        <v>227537.32206246466</v>
      </c>
      <c r="M17" s="379">
        <f t="shared" si="8"/>
        <v>133058.99772621682</v>
      </c>
      <c r="N17" s="372">
        <f t="shared" si="9"/>
        <v>123214.85092786672</v>
      </c>
      <c r="Q17" s="29">
        <v>7</v>
      </c>
      <c r="R17" s="38">
        <f t="shared" si="10"/>
        <v>435131.42010990356</v>
      </c>
      <c r="S17" s="38">
        <f t="shared" si="11"/>
        <v>425279.35992553399</v>
      </c>
      <c r="T17" s="30">
        <f t="shared" si="12"/>
        <v>12759.066572036008</v>
      </c>
      <c r="U17" s="38">
        <f t="shared" si="14"/>
        <v>2907.0063876664462</v>
      </c>
      <c r="V17" s="34">
        <f t="shared" si="15"/>
        <v>6547.2346616431669</v>
      </c>
      <c r="W17" s="38">
        <f t="shared" si="16"/>
        <v>6413.9220940503856</v>
      </c>
      <c r="X17" s="33">
        <f t="shared" si="17"/>
        <v>596.7482840274206</v>
      </c>
      <c r="Y17" s="33">
        <f t="shared" si="18"/>
        <v>3503.7546716938668</v>
      </c>
      <c r="AB17" s="44"/>
      <c r="AC17" s="44"/>
      <c r="AD17" s="44"/>
      <c r="AE17" s="44"/>
      <c r="AF17" s="1"/>
    </row>
    <row r="18" spans="1:32">
      <c r="A18" s="361">
        <v>9</v>
      </c>
      <c r="B18" s="346">
        <f t="shared" si="19"/>
        <v>1405.9912572027192</v>
      </c>
      <c r="C18" s="319">
        <f t="shared" si="0"/>
        <v>1705.0559087219522</v>
      </c>
      <c r="D18" s="410">
        <f t="shared" si="2"/>
        <v>-299.06465151923294</v>
      </c>
      <c r="E18" s="363">
        <f t="shared" si="13"/>
        <v>398.65194993434278</v>
      </c>
      <c r="F18" s="362">
        <f t="shared" si="3"/>
        <v>99.587298415109842</v>
      </c>
      <c r="G18" s="409">
        <f t="shared" si="1"/>
        <v>188220.9054157827</v>
      </c>
      <c r="H18" s="319">
        <f t="shared" si="4"/>
        <v>391431.95514877344</v>
      </c>
      <c r="I18" s="364">
        <f t="shared" si="5"/>
        <v>148324.65870323605</v>
      </c>
      <c r="J18" s="417">
        <f t="shared" si="6"/>
        <v>128022.243114864</v>
      </c>
      <c r="K18" s="378">
        <f>LOOKUP(K$9+A18-1,Investment!AG$7:AG$99,Investment!AH$7:AH$99)</f>
        <v>0.2382</v>
      </c>
      <c r="L18" s="370">
        <f t="shared" si="7"/>
        <v>280416.22457515029</v>
      </c>
      <c r="M18" s="379">
        <f t="shared" si="8"/>
        <v>147766.64689225782</v>
      </c>
      <c r="N18" s="372">
        <f t="shared" si="9"/>
        <v>135514.32170943267</v>
      </c>
      <c r="Q18" s="29">
        <v>8</v>
      </c>
      <c r="R18" s="38">
        <f t="shared" si="10"/>
        <v>424085.23544069869</v>
      </c>
      <c r="S18" s="38">
        <f t="shared" si="11"/>
        <v>412555.51133408747</v>
      </c>
      <c r="T18" s="30">
        <f t="shared" si="12"/>
        <v>15554.804351515673</v>
      </c>
      <c r="U18" s="38">
        <f t="shared" si="14"/>
        <v>4025.080244904455</v>
      </c>
      <c r="V18" s="34">
        <f t="shared" si="15"/>
        <v>6387.1281937148224</v>
      </c>
      <c r="W18" s="38">
        <f t="shared" si="16"/>
        <v>6229.4990993750762</v>
      </c>
      <c r="X18" s="33">
        <f t="shared" si="17"/>
        <v>825.98717245045736</v>
      </c>
      <c r="Y18" s="33">
        <f t="shared" si="18"/>
        <v>4851.0674173549123</v>
      </c>
      <c r="AB18" s="44"/>
      <c r="AC18" s="44"/>
      <c r="AD18" s="44"/>
      <c r="AE18" s="44"/>
      <c r="AF18" s="1"/>
    </row>
    <row r="19" spans="1:32" ht="13.8" thickBot="1">
      <c r="A19" s="361">
        <v>10</v>
      </c>
      <c r="B19" s="346">
        <f t="shared" si="19"/>
        <v>1434.1110823467736</v>
      </c>
      <c r="C19" s="319">
        <f t="shared" si="0"/>
        <v>1719.9721264302914</v>
      </c>
      <c r="D19" s="410">
        <f t="shared" si="2"/>
        <v>-285.86104408351775</v>
      </c>
      <c r="E19" s="363">
        <f t="shared" si="13"/>
        <v>392.32308781251419</v>
      </c>
      <c r="F19" s="362">
        <f t="shared" si="3"/>
        <v>106.46204372899643</v>
      </c>
      <c r="G19" s="409">
        <f t="shared" si="1"/>
        <v>183019.64510695552</v>
      </c>
      <c r="H19" s="319">
        <f t="shared" si="4"/>
        <v>403174.91380323668</v>
      </c>
      <c r="I19" s="364">
        <f t="shared" si="5"/>
        <v>160520.28593563382</v>
      </c>
      <c r="J19" s="417">
        <f t="shared" si="6"/>
        <v>135665.76839682108</v>
      </c>
      <c r="K19" s="378">
        <f>LOOKUP(K$9+A19-1,Investment!AG$7:AG$99,Investment!AH$7:AH$99)</f>
        <v>0.31859999999999999</v>
      </c>
      <c r="L19" s="370">
        <f t="shared" si="7"/>
        <v>368302.03962209611</v>
      </c>
      <c r="M19" s="379">
        <f t="shared" si="8"/>
        <v>164152.27250599122</v>
      </c>
      <c r="N19" s="372">
        <f t="shared" si="9"/>
        <v>149080.15646925548</v>
      </c>
      <c r="Q19" s="29">
        <v>9</v>
      </c>
      <c r="R19" s="38">
        <f t="shared" si="10"/>
        <v>412531.59098042437</v>
      </c>
      <c r="S19" s="38">
        <f t="shared" si="11"/>
        <v>399247.13136450679</v>
      </c>
      <c r="T19" s="30">
        <f t="shared" si="12"/>
        <v>18686.030664532896</v>
      </c>
      <c r="U19" s="38">
        <f t="shared" si="14"/>
        <v>5401.5710486153112</v>
      </c>
      <c r="V19" s="34">
        <f t="shared" si="15"/>
        <v>6219.6664626619067</v>
      </c>
      <c r="W19" s="38">
        <f t="shared" si="16"/>
        <v>6036.603744590805</v>
      </c>
      <c r="X19" s="33">
        <f t="shared" si="17"/>
        <v>1108.1683512156142</v>
      </c>
      <c r="Y19" s="33">
        <f t="shared" si="18"/>
        <v>6509.7393998309253</v>
      </c>
      <c r="AB19" s="44"/>
      <c r="AC19" s="44"/>
      <c r="AD19" s="44"/>
      <c r="AE19" s="44"/>
      <c r="AF19" s="1"/>
    </row>
    <row r="20" spans="1:32" ht="13.8" thickBot="1">
      <c r="A20" s="357">
        <v>11</v>
      </c>
      <c r="B20" s="346">
        <f t="shared" si="19"/>
        <v>1462.7933039937091</v>
      </c>
      <c r="C20" s="319">
        <f t="shared" si="0"/>
        <v>1735.3358306698808</v>
      </c>
      <c r="D20" s="410">
        <f t="shared" si="2"/>
        <v>-272.54252667617175</v>
      </c>
      <c r="E20" s="363">
        <f t="shared" si="13"/>
        <v>385.67042909310118</v>
      </c>
      <c r="F20" s="362">
        <f t="shared" si="3"/>
        <v>113.12790241692943</v>
      </c>
      <c r="G20" s="409">
        <f t="shared" si="1"/>
        <v>177552.27844935181</v>
      </c>
      <c r="H20" s="319">
        <f t="shared" si="4"/>
        <v>415270.16121733381</v>
      </c>
      <c r="I20" s="364">
        <f t="shared" si="5"/>
        <v>173263.8505245152</v>
      </c>
      <c r="J20" s="417">
        <f t="shared" si="6"/>
        <v>143761.81513722855</v>
      </c>
      <c r="K20" s="378">
        <f>LOOKUP(K$9+A20-1,Investment!AG$7:AG$99,Investment!AH$7:AH$99)</f>
        <v>0.28339999999999999</v>
      </c>
      <c r="L20" s="370">
        <f t="shared" si="7"/>
        <v>471152.90601303312</v>
      </c>
      <c r="M20" s="379">
        <f t="shared" si="8"/>
        <v>182419.87342541831</v>
      </c>
      <c r="N20" s="372">
        <f t="shared" si="9"/>
        <v>164054.28588001576</v>
      </c>
      <c r="Q20" s="21">
        <v>10</v>
      </c>
      <c r="R20" s="39">
        <f t="shared" si="10"/>
        <v>400447.17411506403</v>
      </c>
      <c r="S20" s="39">
        <f t="shared" si="11"/>
        <v>385327.36674755003</v>
      </c>
      <c r="T20" s="37">
        <f t="shared" si="12"/>
        <v>22193.004135112194</v>
      </c>
      <c r="U20" s="39">
        <f t="shared" si="14"/>
        <v>7073.1967675981905</v>
      </c>
      <c r="V20" s="35">
        <f t="shared" si="15"/>
        <v>6044.5115689835175</v>
      </c>
      <c r="W20" s="39">
        <f t="shared" si="16"/>
        <v>5834.8468109566993</v>
      </c>
      <c r="X20" s="36">
        <f t="shared" si="17"/>
        <v>1450.8133113883059</v>
      </c>
      <c r="Y20" s="36">
        <f t="shared" si="18"/>
        <v>8524.0100789864955</v>
      </c>
      <c r="AB20" s="44"/>
      <c r="AC20" s="44"/>
      <c r="AD20" s="44"/>
      <c r="AE20" s="44"/>
      <c r="AF20" s="1"/>
    </row>
    <row r="21" spans="1:32">
      <c r="A21" s="361">
        <v>12</v>
      </c>
      <c r="B21" s="346">
        <f t="shared" si="19"/>
        <v>1492.0491700735834</v>
      </c>
      <c r="C21" s="319">
        <f t="shared" si="0"/>
        <v>1751.160446036658</v>
      </c>
      <c r="D21" s="410">
        <f t="shared" si="2"/>
        <v>-259.1112759630746</v>
      </c>
      <c r="E21" s="363">
        <f t="shared" si="13"/>
        <v>378.67740772764301</v>
      </c>
      <c r="F21" s="362">
        <f t="shared" si="3"/>
        <v>119.56613176456841</v>
      </c>
      <c r="G21" s="409">
        <f t="shared" si="1"/>
        <v>171805.19093712978</v>
      </c>
      <c r="H21" s="319">
        <f t="shared" si="4"/>
        <v>427728.26605385385</v>
      </c>
      <c r="I21" s="364">
        <f t="shared" si="5"/>
        <v>186577.42190595329</v>
      </c>
      <c r="J21" s="417">
        <f t="shared" si="6"/>
        <v>152344.87795704982</v>
      </c>
      <c r="K21" s="378">
        <f>LOOKUP(K$9+A21-1,Investment!AG$7:AG$99,Investment!AH$7:AH$99)</f>
        <v>0.2089</v>
      </c>
      <c r="L21" s="370">
        <f t="shared" si="7"/>
        <v>568009.28172231722</v>
      </c>
      <c r="M21" s="379">
        <f t="shared" si="8"/>
        <v>202798.16540119826</v>
      </c>
      <c r="N21" s="372">
        <f t="shared" si="9"/>
        <v>180594.4890266775</v>
      </c>
      <c r="Q21" s="29">
        <v>11</v>
      </c>
      <c r="R21" s="38">
        <f t="shared" si="10"/>
        <v>387807.60125319147</v>
      </c>
      <c r="S21" s="38">
        <f t="shared" si="11"/>
        <v>370768.13057948404</v>
      </c>
      <c r="T21" s="30">
        <f t="shared" si="12"/>
        <v>26120.814422161016</v>
      </c>
      <c r="U21" s="38">
        <f t="shared" si="14"/>
        <v>9081.3437484535862</v>
      </c>
      <c r="V21" s="34">
        <f t="shared" si="15"/>
        <v>5861.3100901344869</v>
      </c>
      <c r="W21" s="38">
        <f t="shared" si="16"/>
        <v>5623.8211990906566</v>
      </c>
      <c r="X21" s="33">
        <f t="shared" si="17"/>
        <v>1862.3997997987335</v>
      </c>
      <c r="Y21" s="33">
        <f t="shared" si="18"/>
        <v>10943.74354825232</v>
      </c>
      <c r="AB21" s="44"/>
      <c r="AC21" s="44"/>
      <c r="AD21" s="44"/>
      <c r="AE21" s="44"/>
      <c r="AF21" s="1"/>
    </row>
    <row r="22" spans="1:32">
      <c r="A22" s="361">
        <v>13</v>
      </c>
      <c r="B22" s="346">
        <f t="shared" si="19"/>
        <v>1521.8901534750551</v>
      </c>
      <c r="C22" s="319">
        <f t="shared" si="0"/>
        <v>1767.4597998644381</v>
      </c>
      <c r="D22" s="410">
        <f t="shared" si="2"/>
        <v>-245.56964638938302</v>
      </c>
      <c r="E22" s="363">
        <f t="shared" si="13"/>
        <v>371.32661011720194</v>
      </c>
      <c r="F22" s="362">
        <f t="shared" si="3"/>
        <v>125.75696372781891</v>
      </c>
      <c r="G22" s="409">
        <f t="shared" si="1"/>
        <v>165764.07152049011</v>
      </c>
      <c r="H22" s="319">
        <f t="shared" si="4"/>
        <v>440560.11403546948</v>
      </c>
      <c r="I22" s="364">
        <f t="shared" si="5"/>
        <v>200484.01970788545</v>
      </c>
      <c r="J22" s="417">
        <f t="shared" si="6"/>
        <v>161452.11083497561</v>
      </c>
      <c r="K22" s="378">
        <f>LOOKUP(K$9+A22-1,Investment!AG$7:AG$99,Investment!AH$7:AH$99)</f>
        <v>-9.0300000000000005E-2</v>
      </c>
      <c r="L22" s="370">
        <f t="shared" si="7"/>
        <v>515272.48431294475</v>
      </c>
      <c r="M22" s="379">
        <f t="shared" si="8"/>
        <v>201289.08183646444</v>
      </c>
      <c r="N22" s="372">
        <f t="shared" si="9"/>
        <v>177286.38975588704</v>
      </c>
      <c r="Q22" s="29">
        <v>12</v>
      </c>
      <c r="R22" s="38">
        <f t="shared" si="10"/>
        <v>374587.36862545653</v>
      </c>
      <c r="S22" s="38">
        <f t="shared" si="11"/>
        <v>355540.04564913234</v>
      </c>
      <c r="T22" s="30">
        <f t="shared" si="12"/>
        <v>30519.961943655697</v>
      </c>
      <c r="U22" s="38">
        <f t="shared" si="14"/>
        <v>11472.638967331513</v>
      </c>
      <c r="V22" s="34">
        <f t="shared" si="15"/>
        <v>5669.6923673998972</v>
      </c>
      <c r="W22" s="38">
        <f t="shared" si="16"/>
        <v>5403.1011075363685</v>
      </c>
      <c r="X22" s="33">
        <f t="shared" si="17"/>
        <v>2352.47903563811</v>
      </c>
      <c r="Y22" s="33">
        <f t="shared" si="18"/>
        <v>13825.118002969622</v>
      </c>
      <c r="AB22" s="44"/>
      <c r="AC22" s="44"/>
      <c r="AD22" s="44"/>
      <c r="AE22" s="44"/>
      <c r="AF22" s="1"/>
    </row>
    <row r="23" spans="1:32">
      <c r="A23" s="361">
        <v>14</v>
      </c>
      <c r="B23" s="346">
        <f t="shared" si="19"/>
        <v>1552.3279565445562</v>
      </c>
      <c r="C23" s="319">
        <f t="shared" si="0"/>
        <v>1784.2481343070522</v>
      </c>
      <c r="D23" s="410">
        <f t="shared" si="2"/>
        <v>-231.920177762496</v>
      </c>
      <c r="E23" s="363">
        <f t="shared" si="13"/>
        <v>363.59973175006462</v>
      </c>
      <c r="F23" s="362">
        <f t="shared" si="3"/>
        <v>131.67955398756862</v>
      </c>
      <c r="G23" s="409">
        <f t="shared" si="1"/>
        <v>159413.87696916494</v>
      </c>
      <c r="H23" s="319">
        <f t="shared" si="4"/>
        <v>453776.91745653359</v>
      </c>
      <c r="I23" s="364">
        <f t="shared" si="5"/>
        <v>215007.65699606191</v>
      </c>
      <c r="J23" s="417">
        <f t="shared" si="6"/>
        <v>171123.52658706938</v>
      </c>
      <c r="K23" s="378">
        <f>LOOKUP(K$9+A23-1,Investment!AG$7:AG$99,Investment!AH$7:AH$99)</f>
        <v>-0.11849999999999999</v>
      </c>
      <c r="L23" s="370">
        <f t="shared" si="7"/>
        <v>452720.31637432467</v>
      </c>
      <c r="M23" s="379">
        <f t="shared" si="8"/>
        <v>199708.92718861363</v>
      </c>
      <c r="N23" s="372">
        <f t="shared" si="9"/>
        <v>173940.62672825737</v>
      </c>
      <c r="Q23" s="29">
        <v>13</v>
      </c>
      <c r="R23" s="38">
        <f t="shared" si="10"/>
        <v>360759.80082380772</v>
      </c>
      <c r="S23" s="38">
        <f t="shared" si="11"/>
        <v>339612.38516137714</v>
      </c>
      <c r="T23" s="30">
        <f t="shared" si="12"/>
        <v>35447.007167729746</v>
      </c>
      <c r="U23" s="38">
        <f t="shared" si="14"/>
        <v>14299.59150529917</v>
      </c>
      <c r="V23" s="34">
        <f t="shared" si="15"/>
        <v>5469.2717600083233</v>
      </c>
      <c r="W23" s="38">
        <f t="shared" si="16"/>
        <v>5172.2411735932137</v>
      </c>
      <c r="X23" s="33">
        <f t="shared" si="17"/>
        <v>2931.807106329793</v>
      </c>
      <c r="Y23" s="33">
        <f t="shared" si="18"/>
        <v>17231.398611628963</v>
      </c>
      <c r="AB23" s="44"/>
      <c r="AC23" s="44"/>
      <c r="AD23" s="44"/>
      <c r="AE23" s="44"/>
      <c r="AF23" s="1"/>
    </row>
    <row r="24" spans="1:32" ht="13.8" thickBot="1">
      <c r="A24" s="365">
        <v>15</v>
      </c>
      <c r="B24" s="346">
        <f t="shared" si="19"/>
        <v>1583.3745156754474</v>
      </c>
      <c r="C24" s="319">
        <f t="shared" si="0"/>
        <v>1801.5401187829443</v>
      </c>
      <c r="D24" s="410">
        <f t="shared" si="2"/>
        <v>-218.16560310749696</v>
      </c>
      <c r="E24" s="363">
        <f t="shared" si="13"/>
        <v>355.47753162096205</v>
      </c>
      <c r="F24" s="362">
        <f t="shared" si="3"/>
        <v>137.31192851346509</v>
      </c>
      <c r="G24" s="409">
        <f t="shared" si="1"/>
        <v>152738.79441267566</v>
      </c>
      <c r="H24" s="319">
        <f t="shared" si="4"/>
        <v>467390.22498022963</v>
      </c>
      <c r="I24" s="364">
        <f t="shared" si="5"/>
        <v>230173.38557150803</v>
      </c>
      <c r="J24" s="417">
        <f t="shared" si="6"/>
        <v>181402.21097154432</v>
      </c>
      <c r="K24" s="378">
        <f>LOOKUP(K$9+A24-1,Investment!AG$7:AG$99,Investment!AH$7:AH$99)</f>
        <v>-0.21970000000000001</v>
      </c>
      <c r="L24" s="370">
        <f t="shared" si="7"/>
        <v>351783.26479805284</v>
      </c>
      <c r="M24" s="379">
        <f t="shared" si="8"/>
        <v>198061.18404645205</v>
      </c>
      <c r="N24" s="372">
        <f t="shared" si="9"/>
        <v>170561.04317933272</v>
      </c>
      <c r="Q24" s="29">
        <v>14</v>
      </c>
      <c r="R24" s="38">
        <f t="shared" si="10"/>
        <v>346296.99697661411</v>
      </c>
      <c r="S24" s="38">
        <f t="shared" si="11"/>
        <v>322953.01073750854</v>
      </c>
      <c r="T24" s="30">
        <f t="shared" si="12"/>
        <v>40965.297818692692</v>
      </c>
      <c r="U24" s="38">
        <f t="shared" si="14"/>
        <v>17621.311579587113</v>
      </c>
      <c r="V24" s="34">
        <f t="shared" si="15"/>
        <v>5259.6438649785414</v>
      </c>
      <c r="W24" s="38">
        <f t="shared" si="16"/>
        <v>4930.7755746757903</v>
      </c>
      <c r="X24" s="33">
        <f t="shared" si="17"/>
        <v>3612.4922493921185</v>
      </c>
      <c r="Y24" s="33">
        <f t="shared" si="18"/>
        <v>21233.803828979231</v>
      </c>
      <c r="AB24" s="42"/>
      <c r="AC24" s="42"/>
      <c r="AF24" s="1"/>
    </row>
    <row r="25" spans="1:32" ht="13.8" thickBot="1">
      <c r="A25" s="361">
        <v>16</v>
      </c>
      <c r="B25" s="346">
        <f t="shared" si="19"/>
        <v>1615.0420059889564</v>
      </c>
      <c r="C25" s="319">
        <f t="shared" si="0"/>
        <v>1819.3508627931133</v>
      </c>
      <c r="D25" s="410">
        <f t="shared" si="2"/>
        <v>-204.3088568041569</v>
      </c>
      <c r="E25" s="363">
        <f t="shared" si="13"/>
        <v>346.93978431828299</v>
      </c>
      <c r="F25" s="362">
        <f t="shared" si="3"/>
        <v>142.63092751412609</v>
      </c>
      <c r="G25" s="409">
        <f t="shared" si="1"/>
        <v>145722.20196407923</v>
      </c>
      <c r="H25" s="319">
        <f t="shared" si="4"/>
        <v>481411.9317296365</v>
      </c>
      <c r="I25" s="364">
        <f t="shared" si="5"/>
        <v>246007.34341962996</v>
      </c>
      <c r="J25" s="417">
        <f t="shared" si="6"/>
        <v>192334.55247478766</v>
      </c>
      <c r="K25" s="378">
        <f>LOOKUP(K$9+A25-1,Investment!AG$7:AG$99,Investment!AH$7:AH$99)</f>
        <v>0.28360000000000002</v>
      </c>
      <c r="L25" s="370">
        <f t="shared" si="7"/>
        <v>449624.97036384424</v>
      </c>
      <c r="M25" s="379">
        <f t="shared" si="8"/>
        <v>220024.74440555269</v>
      </c>
      <c r="N25" s="372">
        <f t="shared" si="9"/>
        <v>187526.52076640507</v>
      </c>
      <c r="Q25" s="29">
        <v>15</v>
      </c>
      <c r="R25" s="38">
        <f t="shared" si="10"/>
        <v>331169.77445108432</v>
      </c>
      <c r="S25" s="38">
        <f t="shared" si="11"/>
        <v>305528.30756732193</v>
      </c>
      <c r="T25" s="30">
        <f t="shared" si="12"/>
        <v>47145.78334777119</v>
      </c>
      <c r="U25" s="38">
        <f t="shared" si="14"/>
        <v>21504.3164640088</v>
      </c>
      <c r="V25" s="34">
        <f t="shared" si="15"/>
        <v>5040.3857011275977</v>
      </c>
      <c r="W25" s="38">
        <f t="shared" si="16"/>
        <v>4678.2170883908493</v>
      </c>
      <c r="X25" s="33">
        <f t="shared" si="17"/>
        <v>4408.1599320559217</v>
      </c>
      <c r="Y25" s="33">
        <f t="shared" si="18"/>
        <v>25912.476396064721</v>
      </c>
      <c r="AF25" s="1"/>
    </row>
    <row r="26" spans="1:32">
      <c r="A26" s="361">
        <v>17</v>
      </c>
      <c r="B26" s="346">
        <f t="shared" si="19"/>
        <v>1647.3428461087356</v>
      </c>
      <c r="C26" s="319">
        <f t="shared" si="0"/>
        <v>1837.6959291235871</v>
      </c>
      <c r="D26" s="410">
        <f t="shared" si="2"/>
        <v>-190.35308301485156</v>
      </c>
      <c r="E26" s="363">
        <f t="shared" si="13"/>
        <v>337.96522965996127</v>
      </c>
      <c r="F26" s="362">
        <f t="shared" si="3"/>
        <v>147.6121466451097</v>
      </c>
      <c r="G26" s="409">
        <f t="shared" si="1"/>
        <v>138346.62732914992</v>
      </c>
      <c r="H26" s="319">
        <f t="shared" si="4"/>
        <v>495854.28968152561</v>
      </c>
      <c r="I26" s="364">
        <f t="shared" si="5"/>
        <v>262536.80441607052</v>
      </c>
      <c r="J26" s="417">
        <f t="shared" si="6"/>
        <v>203970.48891026955</v>
      </c>
      <c r="K26" s="378">
        <f>LOOKUP(K$9+A26-1,Investment!AG$7:AG$99,Investment!AH$7:AH$99)</f>
        <v>0.1074</v>
      </c>
      <c r="L26" s="370">
        <f t="shared" si="7"/>
        <v>496057.75771264505</v>
      </c>
      <c r="M26" s="379">
        <f t="shared" si="8"/>
        <v>241798.46748643316</v>
      </c>
      <c r="N26" s="372">
        <f t="shared" si="9"/>
        <v>203942.50912176064</v>
      </c>
      <c r="Q26" s="20">
        <v>16</v>
      </c>
      <c r="R26" s="40">
        <f t="shared" si="10"/>
        <v>315347.60996938136</v>
      </c>
      <c r="S26" s="40">
        <f t="shared" si="11"/>
        <v>287303.1165821125</v>
      </c>
      <c r="T26" s="18">
        <f t="shared" si="12"/>
        <v>54067.927140339147</v>
      </c>
      <c r="U26" s="40">
        <f t="shared" si="14"/>
        <v>26023.433753070291</v>
      </c>
      <c r="V26" s="31">
        <f t="shared" si="15"/>
        <v>4811.0548555904534</v>
      </c>
      <c r="W26" s="40">
        <f t="shared" si="16"/>
        <v>4414.0561094333198</v>
      </c>
      <c r="X26" s="32">
        <f t="shared" si="17"/>
        <v>5334.1378700597661</v>
      </c>
      <c r="Y26" s="32">
        <f t="shared" si="18"/>
        <v>31357.571623130058</v>
      </c>
    </row>
    <row r="27" spans="1:32">
      <c r="A27" s="361">
        <v>18</v>
      </c>
      <c r="B27" s="346">
        <f t="shared" si="19"/>
        <v>1680.2897030309102</v>
      </c>
      <c r="C27" s="319">
        <f t="shared" si="0"/>
        <v>1856.5913474439753</v>
      </c>
      <c r="D27" s="410">
        <f t="shared" si="2"/>
        <v>-176.30164441306511</v>
      </c>
      <c r="E27" s="363">
        <f t="shared" si="13"/>
        <v>328.531519752674</v>
      </c>
      <c r="F27" s="362">
        <f t="shared" si="3"/>
        <v>152.2298753396089</v>
      </c>
      <c r="G27" s="409">
        <f t="shared" si="1"/>
        <v>130593.70429792913</v>
      </c>
      <c r="H27" s="319">
        <f t="shared" si="4"/>
        <v>510729.91837197141</v>
      </c>
      <c r="I27" s="364">
        <f t="shared" si="5"/>
        <v>279790.23039964796</v>
      </c>
      <c r="J27" s="417">
        <f t="shared" si="6"/>
        <v>216363.7720428599</v>
      </c>
      <c r="K27" s="378">
        <f>LOOKUP(K$9+A27-1,Investment!AG$7:AG$99,Investment!AH$7:AH$99)</f>
        <v>4.8300000000000003E-2</v>
      </c>
      <c r="L27" s="370">
        <f t="shared" si="7"/>
        <v>518150.49344389752</v>
      </c>
      <c r="M27" s="379">
        <f t="shared" si="8"/>
        <v>251610.47949975959</v>
      </c>
      <c r="N27" s="372">
        <f t="shared" si="9"/>
        <v>209894.8991012288</v>
      </c>
      <c r="Q27" s="29">
        <v>17</v>
      </c>
      <c r="R27" s="38">
        <f t="shared" si="10"/>
        <v>298798.57801962551</v>
      </c>
      <c r="S27" s="38">
        <f t="shared" si="11"/>
        <v>268240.66351171117</v>
      </c>
      <c r="T27" s="30">
        <f t="shared" si="12"/>
        <v>61820.728188015244</v>
      </c>
      <c r="U27" s="38">
        <f t="shared" si="14"/>
        <v>31262.81368010091</v>
      </c>
      <c r="V27" s="34">
        <f t="shared" si="15"/>
        <v>4571.1885911329991</v>
      </c>
      <c r="W27" s="38">
        <f t="shared" si="16"/>
        <v>4137.7596213200004</v>
      </c>
      <c r="X27" s="33">
        <f t="shared" si="17"/>
        <v>6407.6633842799374</v>
      </c>
      <c r="Y27" s="33">
        <f t="shared" si="18"/>
        <v>37670.477064380844</v>
      </c>
    </row>
    <row r="28" spans="1:32">
      <c r="A28" s="361">
        <v>19</v>
      </c>
      <c r="B28" s="346">
        <f t="shared" si="19"/>
        <v>1713.8954970915286</v>
      </c>
      <c r="C28" s="319">
        <f t="shared" si="0"/>
        <v>1876.0536283139754</v>
      </c>
      <c r="D28" s="410">
        <f t="shared" si="2"/>
        <v>-162.15813122244685</v>
      </c>
      <c r="E28" s="363">
        <f t="shared" si="13"/>
        <v>318.6151633424758</v>
      </c>
      <c r="F28" s="362">
        <f t="shared" si="3"/>
        <v>156.45703212002894</v>
      </c>
      <c r="G28" s="409">
        <f t="shared" si="1"/>
        <v>122444.12701030041</v>
      </c>
      <c r="H28" s="319">
        <f t="shared" si="4"/>
        <v>526051.81592313061</v>
      </c>
      <c r="I28" s="364">
        <f t="shared" si="5"/>
        <v>297797.32572820404</v>
      </c>
      <c r="J28" s="417">
        <f t="shared" si="6"/>
        <v>229572.25153770932</v>
      </c>
      <c r="K28" s="378">
        <f>LOOKUP(K$9+A28-1,Investment!AG$7:AG$99,Investment!AH$7:AH$99)</f>
        <v>0.15609999999999999</v>
      </c>
      <c r="L28" s="370">
        <f t="shared" si="7"/>
        <v>597025.49166043254</v>
      </c>
      <c r="M28" s="379">
        <f t="shared" si="8"/>
        <v>279825.10351027804</v>
      </c>
      <c r="N28" s="372">
        <f t="shared" si="9"/>
        <v>231012.98037831532</v>
      </c>
      <c r="Q28" s="29">
        <v>18</v>
      </c>
      <c r="R28" s="38">
        <f t="shared" si="10"/>
        <v>281489.28643750702</v>
      </c>
      <c r="S28" s="38">
        <f t="shared" si="11"/>
        <v>248302.4846824113</v>
      </c>
      <c r="T28" s="30">
        <f t="shared" si="12"/>
        <v>70503.865361412463</v>
      </c>
      <c r="U28" s="38">
        <f t="shared" si="14"/>
        <v>37317.063606316748</v>
      </c>
      <c r="V28" s="34">
        <f t="shared" si="15"/>
        <v>4320.3029124533296</v>
      </c>
      <c r="W28" s="38">
        <f t="shared" si="16"/>
        <v>3848.7701208834833</v>
      </c>
      <c r="X28" s="33">
        <f t="shared" si="17"/>
        <v>7648.1157819633781</v>
      </c>
      <c r="Y28" s="33">
        <f t="shared" si="18"/>
        <v>44965.179388280128</v>
      </c>
    </row>
    <row r="29" spans="1:32" ht="13.8" thickBot="1">
      <c r="A29" s="361">
        <v>20</v>
      </c>
      <c r="B29" s="346">
        <f t="shared" si="19"/>
        <v>1748.1734070333591</v>
      </c>
      <c r="C29" s="319">
        <f t="shared" si="0"/>
        <v>1896.0997776100753</v>
      </c>
      <c r="D29" s="410">
        <f>B29-C29</f>
        <v>-147.92637057671618</v>
      </c>
      <c r="E29" s="363">
        <f t="shared" si="13"/>
        <v>308.19146731824452</v>
      </c>
      <c r="F29" s="362">
        <f t="shared" si="3"/>
        <v>160.26509674152834</v>
      </c>
      <c r="G29" s="409">
        <f t="shared" si="1"/>
        <v>113877.60188170243</v>
      </c>
      <c r="H29" s="319">
        <f t="shared" si="4"/>
        <v>541833.37040082458</v>
      </c>
      <c r="I29" s="364">
        <f t="shared" si="5"/>
        <v>316589.09443895717</v>
      </c>
      <c r="J29" s="417">
        <f t="shared" si="6"/>
        <v>243658.17962563474</v>
      </c>
      <c r="K29" s="378">
        <f>LOOKUP(K$9+A29-1,Investment!AG$7:AG$99,Investment!AH$7:AH$99)</f>
        <v>5.4800000000000001E-2</v>
      </c>
      <c r="L29" s="370">
        <f t="shared" si="7"/>
        <v>627771.46882442106</v>
      </c>
      <c r="M29" s="379">
        <f t="shared" si="8"/>
        <v>293188.49940363853</v>
      </c>
      <c r="N29" s="372">
        <f t="shared" si="9"/>
        <v>239400.00388483028</v>
      </c>
      <c r="Q29" s="29">
        <v>19</v>
      </c>
      <c r="R29" s="38">
        <f t="shared" si="10"/>
        <v>263384.80902852945</v>
      </c>
      <c r="S29" s="38">
        <f t="shared" si="11"/>
        <v>227448.34940606554</v>
      </c>
      <c r="T29" s="30">
        <f t="shared" si="12"/>
        <v>80228.978995617406</v>
      </c>
      <c r="U29" s="38">
        <f t="shared" si="14"/>
        <v>44292.519373153496</v>
      </c>
      <c r="V29" s="34">
        <f t="shared" si="15"/>
        <v>4057.8915895898399</v>
      </c>
      <c r="W29" s="38">
        <f t="shared" si="16"/>
        <v>3546.5044933583358</v>
      </c>
      <c r="X29" s="33">
        <f t="shared" si="17"/>
        <v>9077.2767720304892</v>
      </c>
      <c r="Y29" s="33">
        <f t="shared" si="18"/>
        <v>53369.796145183987</v>
      </c>
    </row>
    <row r="30" spans="1:32" ht="13.8" thickBot="1">
      <c r="A30" s="357">
        <v>21</v>
      </c>
      <c r="B30" s="346">
        <f t="shared" si="19"/>
        <v>1783.1368751740263</v>
      </c>
      <c r="C30" s="319">
        <f t="shared" si="0"/>
        <v>1916.7473113850583</v>
      </c>
      <c r="D30" s="410">
        <f t="shared" si="2"/>
        <v>-133.61043621103204</v>
      </c>
      <c r="E30" s="363">
        <f t="shared" si="13"/>
        <v>297.23447522248324</v>
      </c>
      <c r="F30" s="362">
        <f t="shared" si="3"/>
        <v>163.6240390114512</v>
      </c>
      <c r="G30" s="409">
        <f t="shared" si="1"/>
        <v>104872.79706927401</v>
      </c>
      <c r="H30" s="319">
        <f t="shared" si="4"/>
        <v>558088.37151284935</v>
      </c>
      <c r="I30" s="364">
        <f t="shared" si="5"/>
        <v>336197.9001410054</v>
      </c>
      <c r="J30" s="417">
        <f t="shared" si="6"/>
        <v>258688.53797631868</v>
      </c>
      <c r="K30" s="378">
        <f>LOOKUP(K$9+A30-1,Investment!AG$7:AG$99,Investment!AH$7:AH$99)</f>
        <v>-0.36549999999999999</v>
      </c>
      <c r="L30" s="370">
        <f t="shared" si="7"/>
        <v>396713.35760153906</v>
      </c>
      <c r="M30" s="379">
        <f t="shared" si="8"/>
        <v>291225.01093550114</v>
      </c>
      <c r="N30" s="372">
        <f t="shared" si="9"/>
        <v>235051.53103052819</v>
      </c>
      <c r="Q30" s="21">
        <v>20</v>
      </c>
      <c r="R30" s="39">
        <f t="shared" si="10"/>
        <v>244448.61509493191</v>
      </c>
      <c r="S30" s="39">
        <f t="shared" si="11"/>
        <v>205636.17880375148</v>
      </c>
      <c r="T30" s="37">
        <f t="shared" si="12"/>
        <v>91121.106265926952</v>
      </c>
      <c r="U30" s="39">
        <f t="shared" si="14"/>
        <v>52308.669974746517</v>
      </c>
      <c r="V30" s="35">
        <f t="shared" si="15"/>
        <v>3783.4251364652537</v>
      </c>
      <c r="W30" s="39">
        <f t="shared" si="16"/>
        <v>3230.3528357888008</v>
      </c>
      <c r="X30" s="36">
        <f t="shared" si="17"/>
        <v>10719.622285350602</v>
      </c>
      <c r="Y30" s="36">
        <f t="shared" si="18"/>
        <v>63028.292260097121</v>
      </c>
    </row>
    <row r="31" spans="1:32">
      <c r="A31" s="361">
        <v>22</v>
      </c>
      <c r="B31" s="346">
        <f t="shared" si="19"/>
        <v>1818.7996126775067</v>
      </c>
      <c r="C31" s="319">
        <f t="shared" si="0"/>
        <v>1938.0142711732906</v>
      </c>
      <c r="D31" s="410">
        <f t="shared" si="2"/>
        <v>-119.21465849578385</v>
      </c>
      <c r="E31" s="363">
        <f t="shared" si="13"/>
        <v>285.7169026160206</v>
      </c>
      <c r="F31" s="362">
        <f t="shared" si="3"/>
        <v>166.50224412023675</v>
      </c>
      <c r="G31" s="409">
        <f t="shared" si="1"/>
        <v>95407.289352587075</v>
      </c>
      <c r="H31" s="319">
        <f t="shared" si="4"/>
        <v>574831.02265823481</v>
      </c>
      <c r="I31" s="364">
        <f t="shared" si="5"/>
        <v>356657.5287740007</v>
      </c>
      <c r="J31" s="417">
        <f t="shared" si="6"/>
        <v>274735.38837705797</v>
      </c>
      <c r="K31" s="378">
        <f>LOOKUP(K$9+A31-1,Investment!AG$7:AG$99,Investment!AH$7:AH$99)</f>
        <v>0.25940000000000002</v>
      </c>
      <c r="L31" s="370">
        <f t="shared" si="7"/>
        <v>497395.11018798844</v>
      </c>
      <c r="M31" s="379">
        <f t="shared" si="8"/>
        <v>324066.341965759</v>
      </c>
      <c r="N31" s="372">
        <f t="shared" si="9"/>
        <v>258810.33641588359</v>
      </c>
      <c r="Q31" s="29">
        <v>21</v>
      </c>
      <c r="R31" s="38">
        <f t="shared" si="10"/>
        <v>224642.49572509038</v>
      </c>
      <c r="S31" s="38">
        <f t="shared" si="11"/>
        <v>182821.96090021171</v>
      </c>
      <c r="T31" s="30">
        <f t="shared" si="12"/>
        <v>103320.28880867362</v>
      </c>
      <c r="U31" s="38">
        <f t="shared" si="14"/>
        <v>61499.753983794944</v>
      </c>
      <c r="V31" s="34">
        <f t="shared" si="15"/>
        <v>3496.3497425047349</v>
      </c>
      <c r="W31" s="38">
        <f t="shared" si="16"/>
        <v>2899.677226384315</v>
      </c>
      <c r="X31" s="33">
        <f t="shared" si="17"/>
        <v>12602.649475713097</v>
      </c>
      <c r="Y31" s="33">
        <f t="shared" si="18"/>
        <v>74102.403459508045</v>
      </c>
    </row>
    <row r="32" spans="1:32">
      <c r="A32" s="361">
        <v>23</v>
      </c>
      <c r="B32" s="346">
        <f t="shared" si="19"/>
        <v>1855.1756049310568</v>
      </c>
      <c r="C32" s="319">
        <f t="shared" si="0"/>
        <v>1959.9192397551701</v>
      </c>
      <c r="D32" s="410">
        <f t="shared" si="2"/>
        <v>-104.74363482411331</v>
      </c>
      <c r="E32" s="363">
        <f t="shared" si="13"/>
        <v>273.61006913602478</v>
      </c>
      <c r="F32" s="362">
        <f t="shared" si="3"/>
        <v>168.86643431191146</v>
      </c>
      <c r="G32" s="409">
        <f t="shared" si="1"/>
        <v>85457.508296700311</v>
      </c>
      <c r="H32" s="319">
        <f t="shared" si="4"/>
        <v>592075.95333798183</v>
      </c>
      <c r="I32" s="364">
        <f t="shared" si="5"/>
        <v>378003.25437368511</v>
      </c>
      <c r="J32" s="417">
        <f t="shared" si="6"/>
        <v>291876.24892876763</v>
      </c>
      <c r="K32" s="378">
        <f>LOOKUP(K$9+A32-1,Investment!AG$7:AG$99,Investment!AH$7:AH$99)</f>
        <v>0.1482</v>
      </c>
      <c r="L32" s="370">
        <f t="shared" si="7"/>
        <v>568948.45863930602</v>
      </c>
      <c r="M32" s="379">
        <f t="shared" si="8"/>
        <v>360818.73399333388</v>
      </c>
      <c r="N32" s="372">
        <f t="shared" si="9"/>
        <v>285152.83672282693</v>
      </c>
      <c r="Q32" s="29">
        <v>22</v>
      </c>
      <c r="R32" s="38">
        <f t="shared" si="10"/>
        <v>203926.48669666494</v>
      </c>
      <c r="S32" s="38">
        <f t="shared" si="11"/>
        <v>158959.66181774507</v>
      </c>
      <c r="T32" s="30">
        <f t="shared" si="12"/>
        <v>116983.37325654994</v>
      </c>
      <c r="U32" s="38">
        <f t="shared" si="14"/>
        <v>72016.548377630068</v>
      </c>
      <c r="V32" s="34">
        <f t="shared" si="15"/>
        <v>3196.0861551720445</v>
      </c>
      <c r="W32" s="38">
        <f t="shared" si="16"/>
        <v>2553.8104373384504</v>
      </c>
      <c r="X32" s="33">
        <f t="shared" si="17"/>
        <v>14757.243130632263</v>
      </c>
      <c r="Y32" s="33">
        <f t="shared" si="18"/>
        <v>86773.791508262337</v>
      </c>
    </row>
    <row r="33" spans="1:25">
      <c r="A33" s="361">
        <v>24</v>
      </c>
      <c r="B33" s="346">
        <f t="shared" si="19"/>
        <v>1892.279117029678</v>
      </c>
      <c r="C33" s="319">
        <f t="shared" si="0"/>
        <v>1982.4813573945057</v>
      </c>
      <c r="D33" s="410">
        <f t="shared" si="2"/>
        <v>-90.20224036482773</v>
      </c>
      <c r="E33" s="363">
        <f t="shared" si="13"/>
        <v>260.88382707785064</v>
      </c>
      <c r="F33" s="362">
        <f t="shared" si="3"/>
        <v>170.68158671302291</v>
      </c>
      <c r="G33" s="409">
        <f t="shared" si="1"/>
        <v>74998.677558486583</v>
      </c>
      <c r="H33" s="319">
        <f t="shared" si="4"/>
        <v>609838.23193812126</v>
      </c>
      <c r="I33" s="364">
        <f t="shared" si="5"/>
        <v>400271.90799201035</v>
      </c>
      <c r="J33" s="417">
        <f t="shared" si="6"/>
        <v>310194.49759300682</v>
      </c>
      <c r="K33" s="378">
        <f>LOOKUP(K$9+A33-1,Investment!AG$7:AG$99,Investment!AH$7:AH$99)</f>
        <v>2.1000000000000001E-2</v>
      </c>
      <c r="L33" s="370">
        <f t="shared" si="7"/>
        <v>578828.55748020683</v>
      </c>
      <c r="M33" s="379">
        <f t="shared" si="8"/>
        <v>366328.10861666896</v>
      </c>
      <c r="N33" s="372">
        <f t="shared" si="9"/>
        <v>286231.03304725705</v>
      </c>
      <c r="Q33" s="29">
        <v>23</v>
      </c>
      <c r="R33" s="38">
        <f t="shared" si="10"/>
        <v>182258.78783793491</v>
      </c>
      <c r="S33" s="38">
        <f t="shared" si="11"/>
        <v>134001.13289036416</v>
      </c>
      <c r="T33" s="30">
        <f t="shared" si="12"/>
        <v>132286.0278381714</v>
      </c>
      <c r="U33" s="38">
        <f t="shared" si="14"/>
        <v>84028.372890600644</v>
      </c>
      <c r="V33" s="34">
        <f t="shared" si="15"/>
        <v>2882.0285111715298</v>
      </c>
      <c r="W33" s="38">
        <f t="shared" si="16"/>
        <v>2192.0545885167367</v>
      </c>
      <c r="X33" s="33">
        <f t="shared" si="17"/>
        <v>17218.086228962929</v>
      </c>
      <c r="Y33" s="33">
        <f t="shared" si="18"/>
        <v>101246.45911956357</v>
      </c>
    </row>
    <row r="34" spans="1:25" ht="13.8" thickBot="1">
      <c r="A34" s="365">
        <v>25</v>
      </c>
      <c r="B34" s="346">
        <f t="shared" si="19"/>
        <v>1930.1246993702716</v>
      </c>
      <c r="C34" s="319">
        <f t="shared" si="0"/>
        <v>2005.7203385630214</v>
      </c>
      <c r="D34" s="410">
        <f t="shared" si="2"/>
        <v>-75.595639192749786</v>
      </c>
      <c r="E34" s="363">
        <f t="shared" si="13"/>
        <v>247.50648632308301</v>
      </c>
      <c r="F34" s="362">
        <f t="shared" si="3"/>
        <v>171.91084713033322</v>
      </c>
      <c r="G34" s="409">
        <f t="shared" si="1"/>
        <v>64004.753190082149</v>
      </c>
      <c r="H34" s="319">
        <f t="shared" si="4"/>
        <v>628133.37889626494</v>
      </c>
      <c r="I34" s="364">
        <f t="shared" si="5"/>
        <v>423501.94992692972</v>
      </c>
      <c r="J34" s="417">
        <f t="shared" si="6"/>
        <v>329779.80505450722</v>
      </c>
      <c r="K34" s="378">
        <f>LOOKUP(K$9+A34-1,Investment!AG$7:AG$99,Investment!AH$7:AH$99)</f>
        <v>0.15890000000000001</v>
      </c>
      <c r="L34" s="370">
        <f t="shared" si="7"/>
        <v>668595.2425978462</v>
      </c>
      <c r="M34" s="379">
        <f t="shared" si="8"/>
        <v>408113.41148201277</v>
      </c>
      <c r="N34" s="372">
        <f t="shared" si="9"/>
        <v>315551.46985968103</v>
      </c>
      <c r="Q34" s="29">
        <v>24</v>
      </c>
      <c r="R34" s="38">
        <f t="shared" si="10"/>
        <v>159595.67868460249</v>
      </c>
      <c r="S34" s="38">
        <f t="shared" si="11"/>
        <v>107896.01351078879</v>
      </c>
      <c r="T34" s="30">
        <f t="shared" si="12"/>
        <v>149425.00096958751</v>
      </c>
      <c r="U34" s="38">
        <f t="shared" si="14"/>
        <v>97725.335795773804</v>
      </c>
      <c r="V34" s="34">
        <f t="shared" si="15"/>
        <v>2553.5431139527404</v>
      </c>
      <c r="W34" s="38">
        <f t="shared" si="16"/>
        <v>1813.6797392925694</v>
      </c>
      <c r="X34" s="33">
        <f t="shared" si="17"/>
        <v>20024.119951098652</v>
      </c>
      <c r="Y34" s="33">
        <f t="shared" si="18"/>
        <v>117749.45574687245</v>
      </c>
    </row>
    <row r="35" spans="1:25" ht="13.8" thickBot="1">
      <c r="A35" s="361">
        <v>26</v>
      </c>
      <c r="B35" s="346">
        <f t="shared" si="19"/>
        <v>1968.7271933576772</v>
      </c>
      <c r="C35" s="319">
        <f t="shared" si="0"/>
        <v>2029.6564891665928</v>
      </c>
      <c r="D35" s="410">
        <f t="shared" si="2"/>
        <v>-60.92929580891564</v>
      </c>
      <c r="E35" s="363">
        <f t="shared" si="13"/>
        <v>233.44473542668285</v>
      </c>
      <c r="F35" s="362">
        <f t="shared" si="3"/>
        <v>172.51543961776721</v>
      </c>
      <c r="G35" s="409">
        <f t="shared" si="1"/>
        <v>52448.358785821707</v>
      </c>
      <c r="H35" s="319">
        <f t="shared" si="4"/>
        <v>646977.38026315288</v>
      </c>
      <c r="I35" s="364">
        <f t="shared" si="5"/>
        <v>447733.5454247006</v>
      </c>
      <c r="J35" s="417">
        <f t="shared" si="6"/>
        <v>350728.59900366626</v>
      </c>
      <c r="K35" s="378">
        <f>LOOKUP(K$9+A35-1,Investment!AG$7:AG$99,Investment!AH$7:AH$99)</f>
        <v>0.32150000000000001</v>
      </c>
      <c r="L35" s="370">
        <f t="shared" si="7"/>
        <v>881188.7115109337</v>
      </c>
      <c r="M35" s="379">
        <f t="shared" si="8"/>
        <v>454905.30471357016</v>
      </c>
      <c r="N35" s="372">
        <f t="shared" si="9"/>
        <v>348089.54072419123</v>
      </c>
      <c r="Q35" s="21">
        <v>25</v>
      </c>
      <c r="R35" s="39">
        <f t="shared" si="10"/>
        <v>135891.43026189017</v>
      </c>
      <c r="S35" s="39">
        <f t="shared" si="11"/>
        <v>80591.629514251836</v>
      </c>
      <c r="T35" s="37">
        <f t="shared" si="12"/>
        <v>168620.65087677352</v>
      </c>
      <c r="U35" s="39">
        <f t="shared" si="14"/>
        <v>113320.85012913519</v>
      </c>
      <c r="V35" s="35">
        <f t="shared" si="15"/>
        <v>2209.9671550573739</v>
      </c>
      <c r="W35" s="39">
        <f t="shared" si="16"/>
        <v>1417.9224156952444</v>
      </c>
      <c r="X35" s="36">
        <f t="shared" si="17"/>
        <v>23219.05908459262</v>
      </c>
      <c r="Y35" s="36">
        <f t="shared" si="18"/>
        <v>136539.90921372781</v>
      </c>
    </row>
    <row r="36" spans="1:25">
      <c r="A36" s="361">
        <v>27</v>
      </c>
      <c r="B36" s="346">
        <f t="shared" si="19"/>
        <v>2008.1017372248307</v>
      </c>
      <c r="C36" s="319">
        <f t="shared" si="0"/>
        <v>2054.3107242882711</v>
      </c>
      <c r="D36" s="410">
        <f t="shared" si="2"/>
        <v>-46.208987063440418</v>
      </c>
      <c r="E36" s="363">
        <f t="shared" si="13"/>
        <v>218.66355866688835</v>
      </c>
      <c r="F36" s="362">
        <f t="shared" si="3"/>
        <v>172.45457160344793</v>
      </c>
      <c r="G36" s="409">
        <f t="shared" si="1"/>
        <v>40300.717311169486</v>
      </c>
      <c r="H36" s="319">
        <f t="shared" si="4"/>
        <v>666386.70167104749</v>
      </c>
      <c r="I36" s="364">
        <f t="shared" si="5"/>
        <v>473008.6440256685</v>
      </c>
      <c r="J36" s="417">
        <f t="shared" si="6"/>
        <v>373144.56209337036</v>
      </c>
      <c r="K36" s="378">
        <f>LOOKUP(K$9+A36-1,Investment!AG$7:AG$99,Investment!AH$7:AH$99)</f>
        <v>0.13519999999999999</v>
      </c>
      <c r="L36" s="370">
        <f t="shared" si="7"/>
        <v>998130.66856119677</v>
      </c>
      <c r="M36" s="379">
        <f t="shared" si="8"/>
        <v>507312.99490013032</v>
      </c>
      <c r="N36" s="372">
        <f t="shared" si="9"/>
        <v>384207.56593135669</v>
      </c>
      <c r="Q36" s="29">
        <v>26</v>
      </c>
      <c r="R36" s="38">
        <f t="shared" si="10"/>
        <v>111098.21281391988</v>
      </c>
      <c r="S36" s="38">
        <f t="shared" si="11"/>
        <v>52032.886894073337</v>
      </c>
      <c r="T36" s="30">
        <f t="shared" si="12"/>
        <v>190119.77877282188</v>
      </c>
      <c r="U36" s="38">
        <f t="shared" si="14"/>
        <v>131054.45285297534</v>
      </c>
      <c r="V36" s="34">
        <f t="shared" si="15"/>
        <v>1850.6073767222422</v>
      </c>
      <c r="W36" s="38">
        <f t="shared" si="16"/>
        <v>1003.9840698935351</v>
      </c>
      <c r="X36" s="33">
        <f t="shared" si="17"/>
        <v>26851.96948157244</v>
      </c>
      <c r="Y36" s="33">
        <f t="shared" si="18"/>
        <v>157906.42233454779</v>
      </c>
    </row>
    <row r="37" spans="1:25">
      <c r="A37" s="361">
        <v>28</v>
      </c>
      <c r="B37" s="346">
        <f t="shared" si="19"/>
        <v>2048.2637719693275</v>
      </c>
      <c r="C37" s="319">
        <f t="shared" si="0"/>
        <v>2079.7045864636002</v>
      </c>
      <c r="D37" s="410">
        <f t="shared" si="2"/>
        <v>-31.440814494272672</v>
      </c>
      <c r="E37" s="363">
        <f t="shared" si="13"/>
        <v>203.12614885114024</v>
      </c>
      <c r="F37" s="362">
        <f t="shared" si="3"/>
        <v>171.68533435686757</v>
      </c>
      <c r="G37" s="409">
        <f t="shared" si="1"/>
        <v>27531.579443887342</v>
      </c>
      <c r="H37" s="319">
        <f t="shared" si="4"/>
        <v>686378.30272117897</v>
      </c>
      <c r="I37" s="364">
        <f t="shared" si="5"/>
        <v>499371.06273305591</v>
      </c>
      <c r="J37" s="417">
        <f t="shared" si="6"/>
        <v>397139.16598504182</v>
      </c>
      <c r="K37" s="378">
        <f>LOOKUP(K$9+A37-1,Investment!AG$7:AG$99,Investment!AH$7:AH$99)</f>
        <v>1.38E-2</v>
      </c>
      <c r="L37" s="370">
        <f t="shared" si="7"/>
        <v>1009831.6491047876</v>
      </c>
      <c r="M37" s="379">
        <f t="shared" si="8"/>
        <v>512240.69154719793</v>
      </c>
      <c r="N37" s="372">
        <f t="shared" si="9"/>
        <v>383603.74490337924</v>
      </c>
      <c r="Q37" s="29">
        <v>27</v>
      </c>
      <c r="R37" s="38">
        <f t="shared" si="10"/>
        <v>85165.99929419579</v>
      </c>
      <c r="S37" s="38">
        <f t="shared" si="11"/>
        <v>22162.160634543747</v>
      </c>
      <c r="T37" s="30">
        <f t="shared" si="12"/>
        <v>214198.80201639616</v>
      </c>
      <c r="U37" s="38">
        <f t="shared" si="14"/>
        <v>151194.96335674412</v>
      </c>
      <c r="V37" s="34">
        <f t="shared" si="15"/>
        <v>1474.7386730434912</v>
      </c>
      <c r="W37" s="38">
        <f t="shared" si="16"/>
        <v>571.02946890767339</v>
      </c>
      <c r="X37" s="33">
        <f t="shared" si="17"/>
        <v>30977.915023496953</v>
      </c>
      <c r="Y37" s="33">
        <f t="shared" si="18"/>
        <v>182172.87838024108</v>
      </c>
    </row>
    <row r="38" spans="1:25">
      <c r="A38" s="361">
        <v>29</v>
      </c>
      <c r="B38" s="346">
        <f t="shared" si="19"/>
        <v>2089.229047408714</v>
      </c>
      <c r="C38" s="319">
        <f t="shared" si="0"/>
        <v>2105.8602645041883</v>
      </c>
      <c r="D38" s="410">
        <f t="shared" si="2"/>
        <v>-16.631217095474312</v>
      </c>
      <c r="E38" s="363">
        <f t="shared" si="13"/>
        <v>186.79381566105303</v>
      </c>
      <c r="F38" s="362">
        <f t="shared" si="3"/>
        <v>170.16259856557872</v>
      </c>
      <c r="G38" s="409">
        <f t="shared" si="1"/>
        <v>14109.148249001708</v>
      </c>
      <c r="H38" s="319">
        <f t="shared" si="4"/>
        <v>706969.65180281433</v>
      </c>
      <c r="I38" s="364">
        <f t="shared" si="5"/>
        <v>526866.57319324976</v>
      </c>
      <c r="J38" s="417">
        <f t="shared" si="6"/>
        <v>422832.24407070054</v>
      </c>
      <c r="K38" s="378">
        <f>LOOKUP(K$9+A38-1,Investment!AG$7:AG$99,Investment!AH$7:AH$99)</f>
        <v>0.1174</v>
      </c>
      <c r="L38" s="370">
        <f t="shared" si="7"/>
        <v>1126236.2612300597</v>
      </c>
      <c r="M38" s="379">
        <f t="shared" si="8"/>
        <v>570228.12525520835</v>
      </c>
      <c r="N38" s="372">
        <f t="shared" si="9"/>
        <v>422662.17197595112</v>
      </c>
      <c r="Q38" s="29">
        <v>28</v>
      </c>
      <c r="R38" s="38">
        <f t="shared" si="10"/>
        <v>58042.464422460878</v>
      </c>
      <c r="S38" s="38">
        <f t="shared" si="11"/>
        <v>-9080.82156318333</v>
      </c>
      <c r="T38" s="30">
        <f t="shared" si="12"/>
        <v>241167.30804919935</v>
      </c>
      <c r="U38" s="38">
        <f t="shared" si="14"/>
        <v>174044.02206355514</v>
      </c>
      <c r="V38" s="34">
        <f t="shared" si="15"/>
        <v>1081.6026268799187</v>
      </c>
      <c r="W38" s="38">
        <f t="shared" si="16"/>
        <v>118.18500930250299</v>
      </c>
      <c r="X38" s="33">
        <f t="shared" si="17"/>
        <v>35658.682443894002</v>
      </c>
      <c r="Y38" s="33">
        <f t="shared" si="18"/>
        <v>209702.70450744915</v>
      </c>
    </row>
    <row r="39" spans="1:25" ht="13.8" thickBot="1">
      <c r="A39" s="365">
        <v>30</v>
      </c>
      <c r="B39" s="346">
        <f t="shared" si="19"/>
        <v>2131.0136283568881</v>
      </c>
      <c r="C39" s="319">
        <f t="shared" si="0"/>
        <v>2132.8006128859947</v>
      </c>
      <c r="D39" s="410">
        <f t="shared" si="2"/>
        <v>-1.7869845291065758</v>
      </c>
      <c r="E39" s="363">
        <f t="shared" si="13"/>
        <v>169.62588930810753</v>
      </c>
      <c r="F39" s="362">
        <f t="shared" si="3"/>
        <v>167.83890477900096</v>
      </c>
      <c r="G39" s="409">
        <f t="shared" si="1"/>
        <v>-1.7462298274040222E-9</v>
      </c>
      <c r="H39" s="319">
        <f t="shared" si="4"/>
        <v>728178.7413568988</v>
      </c>
      <c r="I39" s="427">
        <f t="shared" si="5"/>
        <v>555542.99308552069</v>
      </c>
      <c r="J39" s="417">
        <f t="shared" si="6"/>
        <v>450352.60564190836</v>
      </c>
      <c r="K39" s="378">
        <f>LOOKUP(K$9+A39-1,Investment!AG$7:AG$99,Investment!AH$7:AH$99)</f>
        <v>0.21829999999999999</v>
      </c>
      <c r="L39" s="370">
        <f t="shared" si="7"/>
        <v>1369885.2341336068</v>
      </c>
      <c r="M39" s="379">
        <f t="shared" si="8"/>
        <v>636532.92592760629</v>
      </c>
      <c r="N39" s="372">
        <f t="shared" si="9"/>
        <v>467041.31449268892</v>
      </c>
      <c r="Q39" s="29">
        <v>29</v>
      </c>
      <c r="R39" s="38">
        <f t="shared" si="10"/>
        <v>29672.879104236374</v>
      </c>
      <c r="S39" s="38">
        <f t="shared" si="11"/>
        <v>-41759.100896820193</v>
      </c>
      <c r="T39" s="30">
        <f t="shared" si="12"/>
        <v>271372.03480593889</v>
      </c>
      <c r="U39" s="38">
        <f t="shared" si="14"/>
        <v>199940.05480488233</v>
      </c>
      <c r="V39" s="34">
        <f t="shared" si="15"/>
        <v>670.40597953835186</v>
      </c>
      <c r="W39" s="38">
        <f t="shared" si="16"/>
        <v>-355.46304554772536</v>
      </c>
      <c r="X39" s="33">
        <f t="shared" si="17"/>
        <v>40963.59336224736</v>
      </c>
      <c r="Y39" s="33">
        <f t="shared" si="18"/>
        <v>240903.64816712969</v>
      </c>
    </row>
    <row r="40" spans="1:25" ht="13.8" thickBot="1">
      <c r="A40" s="380">
        <v>31</v>
      </c>
      <c r="B40" s="381">
        <f t="shared" si="19"/>
        <v>2173.633900924026</v>
      </c>
      <c r="C40" s="382">
        <f t="shared" ref="C40:C59" si="20">0+H40/(1+D$4)*(D$5+G$4)/12</f>
        <v>952.70051994194262</v>
      </c>
      <c r="D40" s="383">
        <f t="shared" si="2"/>
        <v>1220.9333809820832</v>
      </c>
      <c r="E40" s="359">
        <v>0</v>
      </c>
      <c r="F40" s="358">
        <f t="shared" si="3"/>
        <v>1220.9333809820832</v>
      </c>
      <c r="G40" s="384">
        <v>0</v>
      </c>
      <c r="H40" s="382">
        <f t="shared" si="4"/>
        <v>750024.10359760583</v>
      </c>
      <c r="I40" s="420">
        <f>H40*(1-D$6)-G40-(H40-D$3)*N$4-G$6*30*MAX(H$6,N$3)</f>
        <v>573019.28287808457</v>
      </c>
      <c r="J40" s="383">
        <f t="shared" si="6"/>
        <v>466761.76998540986</v>
      </c>
      <c r="K40" s="421">
        <f>LOOKUP(K$9+A40-1,Investment!AG$7:AG$99,Investment!AH$7:AH$99)</f>
        <v>-4.3799999999999999E-2</v>
      </c>
      <c r="L40" s="386">
        <f t="shared" si="7"/>
        <v>1295529.5615776859</v>
      </c>
      <c r="M40" s="387">
        <f t="shared" si="8"/>
        <v>621881.72535582131</v>
      </c>
      <c r="N40" s="388">
        <f t="shared" si="9"/>
        <v>447786.97396749165</v>
      </c>
      <c r="Q40" s="21">
        <v>30</v>
      </c>
      <c r="R40" s="39">
        <f t="shared" si="10"/>
        <v>1.862645149230957E-8</v>
      </c>
      <c r="S40" s="39">
        <f t="shared" si="11"/>
        <v>-75938.61466567195</v>
      </c>
      <c r="T40" s="37">
        <f t="shared" si="12"/>
        <v>305201.3287734873</v>
      </c>
      <c r="U40" s="39">
        <f t="shared" si="14"/>
        <v>229262.71410779672</v>
      </c>
      <c r="V40" s="35">
        <f t="shared" si="15"/>
        <v>240.31903016058172</v>
      </c>
      <c r="W40" s="39">
        <f t="shared" si="16"/>
        <v>-850.87040916864032</v>
      </c>
      <c r="X40" s="36">
        <f t="shared" si="17"/>
        <v>46970.414005046267</v>
      </c>
      <c r="Y40" s="36">
        <f t="shared" si="18"/>
        <v>276233.12811284297</v>
      </c>
    </row>
    <row r="41" spans="1:25">
      <c r="A41" s="389">
        <v>32</v>
      </c>
      <c r="B41" s="390">
        <f t="shared" si="19"/>
        <v>2217.1065789425065</v>
      </c>
      <c r="C41" s="391">
        <f t="shared" si="20"/>
        <v>981.28153554020082</v>
      </c>
      <c r="D41" s="385">
        <f t="shared" si="2"/>
        <v>1235.8250434023057</v>
      </c>
      <c r="E41" s="363">
        <v>0</v>
      </c>
      <c r="F41" s="319">
        <f t="shared" si="3"/>
        <v>1235.8250434023057</v>
      </c>
      <c r="G41" s="392">
        <v>0</v>
      </c>
      <c r="H41" s="391">
        <f t="shared" si="4"/>
        <v>772524.82670553401</v>
      </c>
      <c r="I41" s="144">
        <f t="shared" ref="I41:I59" si="21">H41*(1-D$6)-G41-(H41-D$3)*N$4-G$6*30*MAX(H$6,N$3)</f>
        <v>591019.86136442714</v>
      </c>
      <c r="J41" s="385">
        <f t="shared" si="6"/>
        <v>484135.21262720349</v>
      </c>
      <c r="K41" s="419">
        <f>LOOKUP(K$9+A41-1,Investment!AG$7:AG$99,Investment!AH$7:AH$99)</f>
        <v>0.31490000000000001</v>
      </c>
      <c r="L41" s="393">
        <f t="shared" si="7"/>
        <v>1686627.1971825436</v>
      </c>
      <c r="M41" s="394">
        <f t="shared" si="8"/>
        <v>680878.67357204296</v>
      </c>
      <c r="N41" s="395">
        <f t="shared" si="9"/>
        <v>481480.05211743253</v>
      </c>
    </row>
    <row r="42" spans="1:25">
      <c r="A42" s="389">
        <v>33</v>
      </c>
      <c r="B42" s="390">
        <f t="shared" si="19"/>
        <v>2261.4487105213566</v>
      </c>
      <c r="C42" s="391">
        <f t="shared" si="20"/>
        <v>1010.7199816064068</v>
      </c>
      <c r="D42" s="385">
        <f t="shared" si="2"/>
        <v>1250.7287289149499</v>
      </c>
      <c r="E42" s="363">
        <v>0</v>
      </c>
      <c r="F42" s="319">
        <f t="shared" si="3"/>
        <v>1250.7287289149499</v>
      </c>
      <c r="G42" s="392">
        <v>0</v>
      </c>
      <c r="H42" s="391">
        <f t="shared" si="4"/>
        <v>795700.57150670001</v>
      </c>
      <c r="I42" s="144">
        <f t="shared" si="21"/>
        <v>609560.45720535994</v>
      </c>
      <c r="J42" s="385">
        <f t="shared" si="6"/>
        <v>502540.28419871291</v>
      </c>
      <c r="K42" s="419">
        <f>LOOKUP(K$9+A42-1,Investment!AG$7:AG$99,Investment!AH$7:AH$99)</f>
        <v>0.184</v>
      </c>
      <c r="L42" s="393">
        <f t="shared" si="7"/>
        <v>1980730.700161264</v>
      </c>
      <c r="M42" s="394">
        <f t="shared" si="8"/>
        <v>746766.77614654892</v>
      </c>
      <c r="N42" s="395">
        <f t="shared" si="9"/>
        <v>518691.67777719378</v>
      </c>
    </row>
    <row r="43" spans="1:25">
      <c r="A43" s="389">
        <v>34</v>
      </c>
      <c r="B43" s="390">
        <f t="shared" si="19"/>
        <v>2306.6776847317838</v>
      </c>
      <c r="C43" s="391">
        <f t="shared" si="20"/>
        <v>1041.041581054599</v>
      </c>
      <c r="D43" s="385">
        <f t="shared" si="2"/>
        <v>1265.6361036771848</v>
      </c>
      <c r="E43" s="363">
        <v>0</v>
      </c>
      <c r="F43" s="319">
        <f t="shared" si="3"/>
        <v>1265.6361036771848</v>
      </c>
      <c r="G43" s="392">
        <v>0</v>
      </c>
      <c r="H43" s="391">
        <f t="shared" ref="H43:H59" si="22">H42*(1+D$4)</f>
        <v>819571.58865190099</v>
      </c>
      <c r="I43" s="144">
        <f t="shared" si="21"/>
        <v>628657.27092152077</v>
      </c>
      <c r="J43" s="385">
        <f t="shared" ref="J43:J59" si="23">FV((1+J$9)^(1/12)-1,12,F43,-J42,0)</f>
        <v>522049.15305101202</v>
      </c>
      <c r="K43" s="419">
        <f>LOOKUP(K$9+A43-1,Investment!AG$7:AG$99,Investment!AH$7:AH$99)</f>
        <v>0.184</v>
      </c>
      <c r="L43" s="393">
        <f t="shared" ref="L43:L59" si="24">FV((1+K43)^(1/12)-1,12,F43,-L42,0)</f>
        <v>2328755.7327717412</v>
      </c>
      <c r="M43" s="394">
        <f t="shared" ref="M43:M59" si="25">FV((1+IF(K43&gt;N$5,N$5,IF(K43&lt;N$6,N$6,K43)))^(1/12)-1,12,F43,-M42,0)</f>
        <v>820372.92494624609</v>
      </c>
      <c r="N43" s="395">
        <f t="shared" ref="N43:N59" si="26">FV((1+IF(K43&gt;N$5,N$5,IF(K43&lt;N$6,N$6,K43))+N$9)^(1/12)-1,12,F43,-N42,0)</f>
        <v>559808.84471191384</v>
      </c>
    </row>
    <row r="44" spans="1:25">
      <c r="A44" s="389">
        <v>35</v>
      </c>
      <c r="B44" s="390">
        <f t="shared" si="19"/>
        <v>2352.8112384264195</v>
      </c>
      <c r="C44" s="391">
        <f t="shared" si="20"/>
        <v>1072.2728284862371</v>
      </c>
      <c r="D44" s="385">
        <f t="shared" si="2"/>
        <v>1280.5384099401824</v>
      </c>
      <c r="E44" s="363">
        <v>0</v>
      </c>
      <c r="F44" s="319">
        <f t="shared" si="3"/>
        <v>1280.5384099401824</v>
      </c>
      <c r="G44" s="392">
        <v>0</v>
      </c>
      <c r="H44" s="391">
        <f t="shared" si="22"/>
        <v>844158.73631145805</v>
      </c>
      <c r="I44" s="144">
        <f t="shared" si="21"/>
        <v>648326.98904916644</v>
      </c>
      <c r="J44" s="385">
        <f t="shared" si="23"/>
        <v>542739.14774328272</v>
      </c>
      <c r="K44" s="419">
        <f>LOOKUP(K$9+A44-1,Investment!AG$7:AG$99,Investment!AH$7:AH$99)</f>
        <v>0.184</v>
      </c>
      <c r="L44" s="393">
        <f t="shared" si="24"/>
        <v>2740623.9222611841</v>
      </c>
      <c r="M44" s="394">
        <f t="shared" si="25"/>
        <v>902623.34961692232</v>
      </c>
      <c r="N44" s="395">
        <f t="shared" si="26"/>
        <v>605261.22629250132</v>
      </c>
    </row>
    <row r="45" spans="1:25">
      <c r="A45" s="389">
        <v>36</v>
      </c>
      <c r="B45" s="390">
        <f t="shared" si="19"/>
        <v>2399.867463194948</v>
      </c>
      <c r="C45" s="391">
        <f t="shared" si="20"/>
        <v>1104.4410133408242</v>
      </c>
      <c r="D45" s="385">
        <f t="shared" si="2"/>
        <v>1295.4264498541238</v>
      </c>
      <c r="E45" s="363">
        <v>0</v>
      </c>
      <c r="F45" s="319">
        <f t="shared" si="3"/>
        <v>1295.4264498541238</v>
      </c>
      <c r="G45" s="392">
        <v>0</v>
      </c>
      <c r="H45" s="391">
        <f t="shared" si="22"/>
        <v>869483.49840080179</v>
      </c>
      <c r="I45" s="144">
        <f t="shared" si="21"/>
        <v>668586.79872064129</v>
      </c>
      <c r="J45" s="385">
        <f t="shared" si="23"/>
        <v>564693.1237059636</v>
      </c>
      <c r="K45" s="419">
        <f>LOOKUP(K$9+A45-1,Investment!AG$7:AG$99,Investment!AH$7:AH$99)</f>
        <v>0.184</v>
      </c>
      <c r="L45" s="393">
        <f t="shared" si="24"/>
        <v>3228082.594688985</v>
      </c>
      <c r="M45" s="394">
        <f t="shared" si="25"/>
        <v>994555.54368244857</v>
      </c>
      <c r="N45" s="395">
        <f t="shared" si="26"/>
        <v>655525.87579472654</v>
      </c>
    </row>
    <row r="46" spans="1:25">
      <c r="A46" s="389">
        <v>37</v>
      </c>
      <c r="B46" s="390">
        <f t="shared" si="19"/>
        <v>2447.8648124588472</v>
      </c>
      <c r="C46" s="391">
        <f t="shared" si="20"/>
        <v>1137.5742437410488</v>
      </c>
      <c r="D46" s="385">
        <f t="shared" si="2"/>
        <v>1310.2905687177984</v>
      </c>
      <c r="E46" s="363">
        <v>0</v>
      </c>
      <c r="F46" s="319">
        <f t="shared" si="3"/>
        <v>1310.2905687177984</v>
      </c>
      <c r="G46" s="392">
        <v>0</v>
      </c>
      <c r="H46" s="391">
        <f t="shared" si="22"/>
        <v>895568.00335282588</v>
      </c>
      <c r="I46" s="144">
        <f t="shared" si="21"/>
        <v>689454.40268226061</v>
      </c>
      <c r="J46" s="385">
        <f t="shared" si="23"/>
        <v>587999.85577769368</v>
      </c>
      <c r="K46" s="419">
        <f>LOOKUP(K$9+A46-1,Investment!AG$7:AG$99,Investment!AH$7:AH$99)</f>
        <v>0.184</v>
      </c>
      <c r="L46" s="393">
        <f t="shared" si="24"/>
        <v>3805040.709438622</v>
      </c>
      <c r="M46" s="394">
        <f t="shared" si="25"/>
        <v>1097331.6219877191</v>
      </c>
      <c r="N46" s="395">
        <f t="shared" si="26"/>
        <v>711132.44394216093</v>
      </c>
    </row>
    <row r="47" spans="1:25">
      <c r="A47" s="389">
        <v>38</v>
      </c>
      <c r="B47" s="390">
        <f t="shared" si="19"/>
        <v>2496.8221087080242</v>
      </c>
      <c r="C47" s="391">
        <f t="shared" si="20"/>
        <v>1171.7014710532806</v>
      </c>
      <c r="D47" s="385">
        <f t="shared" si="2"/>
        <v>1325.1206376547436</v>
      </c>
      <c r="E47" s="363">
        <v>0</v>
      </c>
      <c r="F47" s="319">
        <f t="shared" si="3"/>
        <v>1325.1206376547436</v>
      </c>
      <c r="G47" s="392">
        <v>0</v>
      </c>
      <c r="H47" s="391">
        <f t="shared" si="22"/>
        <v>922435.04345341073</v>
      </c>
      <c r="I47" s="144">
        <f t="shared" si="21"/>
        <v>710948.03476272861</v>
      </c>
      <c r="J47" s="385">
        <f t="shared" si="23"/>
        <v>612754.45843431703</v>
      </c>
      <c r="K47" s="419">
        <f>LOOKUP(K$9+A47-1,Investment!AG$7:AG$99,Investment!AH$7:AH$99)</f>
        <v>0.184</v>
      </c>
      <c r="L47" s="393">
        <f t="shared" si="24"/>
        <v>4487966.6059046295</v>
      </c>
      <c r="M47" s="394">
        <f t="shared" si="25"/>
        <v>1212253.2812538305</v>
      </c>
      <c r="N47" s="395">
        <f t="shared" si="26"/>
        <v>772668.97059700964</v>
      </c>
    </row>
    <row r="48" spans="1:25">
      <c r="A48" s="389">
        <v>39</v>
      </c>
      <c r="B48" s="390">
        <f t="shared" si="19"/>
        <v>2546.7585508821849</v>
      </c>
      <c r="C48" s="391">
        <f t="shared" si="20"/>
        <v>1206.8525151848789</v>
      </c>
      <c r="D48" s="385">
        <f t="shared" si="2"/>
        <v>1339.9060356973059</v>
      </c>
      <c r="E48" s="363">
        <v>0</v>
      </c>
      <c r="F48" s="319">
        <f t="shared" si="3"/>
        <v>1339.9060356973059</v>
      </c>
      <c r="G48" s="392">
        <v>0</v>
      </c>
      <c r="H48" s="391">
        <f t="shared" si="22"/>
        <v>950108.09475701302</v>
      </c>
      <c r="I48" s="144">
        <f t="shared" si="21"/>
        <v>733086.47580561042</v>
      </c>
      <c r="J48" s="385">
        <f t="shared" si="23"/>
        <v>639058.83565572242</v>
      </c>
      <c r="K48" s="419">
        <f>LOOKUP(K$9+A48-1,Investment!AG$7:AG$99,Investment!AH$7:AH$99)</f>
        <v>0.184</v>
      </c>
      <c r="L48" s="393">
        <f t="shared" si="24"/>
        <v>5296358.9358025454</v>
      </c>
      <c r="M48" s="394">
        <f t="shared" si="25"/>
        <v>1340778.5561264562</v>
      </c>
      <c r="N48" s="395">
        <f t="shared" si="26"/>
        <v>840788.31376256223</v>
      </c>
    </row>
    <row r="49" spans="1:14">
      <c r="A49" s="389">
        <v>40</v>
      </c>
      <c r="B49" s="390">
        <f t="shared" si="19"/>
        <v>2597.6937218998287</v>
      </c>
      <c r="C49" s="391">
        <f t="shared" si="20"/>
        <v>1243.0580906404252</v>
      </c>
      <c r="D49" s="385">
        <f t="shared" si="2"/>
        <v>1354.6356312594035</v>
      </c>
      <c r="E49" s="363">
        <v>0</v>
      </c>
      <c r="F49" s="319">
        <f t="shared" si="3"/>
        <v>1354.6356312594035</v>
      </c>
      <c r="G49" s="392">
        <v>0</v>
      </c>
      <c r="H49" s="391">
        <f t="shared" si="22"/>
        <v>978611.33759972348</v>
      </c>
      <c r="I49" s="144">
        <f t="shared" si="21"/>
        <v>755889.07007977879</v>
      </c>
      <c r="J49" s="385">
        <f t="shared" si="23"/>
        <v>667022.16251273418</v>
      </c>
      <c r="K49" s="419">
        <f>LOOKUP(K$9+A49-1,Investment!AG$7:AG$99,Investment!AH$7:AH$99)</f>
        <v>0.184</v>
      </c>
      <c r="L49" s="393">
        <f t="shared" si="24"/>
        <v>6253304.2472643917</v>
      </c>
      <c r="M49" s="394">
        <f t="shared" si="25"/>
        <v>1484540.5861843301</v>
      </c>
      <c r="N49" s="395">
        <f t="shared" si="26"/>
        <v>916215.28600923682</v>
      </c>
    </row>
    <row r="50" spans="1:14">
      <c r="A50" s="389">
        <v>41</v>
      </c>
      <c r="B50" s="390">
        <f t="shared" si="19"/>
        <v>2649.6475963378252</v>
      </c>
      <c r="C50" s="391">
        <f t="shared" si="20"/>
        <v>1280.3498333596381</v>
      </c>
      <c r="D50" s="385">
        <f t="shared" si="2"/>
        <v>1369.2977629781872</v>
      </c>
      <c r="E50" s="363">
        <v>0</v>
      </c>
      <c r="F50" s="319">
        <f t="shared" si="3"/>
        <v>1369.2977629781872</v>
      </c>
      <c r="G50" s="392">
        <v>0</v>
      </c>
      <c r="H50" s="391">
        <f t="shared" si="22"/>
        <v>1007969.6777277152</v>
      </c>
      <c r="I50" s="144">
        <f t="shared" si="21"/>
        <v>779375.74218217214</v>
      </c>
      <c r="J50" s="385">
        <f t="shared" si="23"/>
        <v>696761.40070227161</v>
      </c>
      <c r="K50" s="419">
        <f>LOOKUP(K$9+A50-1,Investment!AG$7:AG$99,Investment!AH$7:AH$99)</f>
        <v>0.184</v>
      </c>
      <c r="L50" s="393">
        <f t="shared" si="24"/>
        <v>7386137.1646564202</v>
      </c>
      <c r="M50" s="394">
        <f t="shared" si="25"/>
        <v>1645368.6352310353</v>
      </c>
      <c r="N50" s="395">
        <f t="shared" si="26"/>
        <v>999754.57614876237</v>
      </c>
    </row>
    <row r="51" spans="1:14">
      <c r="A51" s="389">
        <v>42</v>
      </c>
      <c r="B51" s="390">
        <f t="shared" si="19"/>
        <v>2702.6405482645819</v>
      </c>
      <c r="C51" s="391">
        <f t="shared" si="20"/>
        <v>1318.7603283604274</v>
      </c>
      <c r="D51" s="385">
        <f t="shared" si="2"/>
        <v>1383.8802199041545</v>
      </c>
      <c r="E51" s="363">
        <v>0</v>
      </c>
      <c r="F51" s="319">
        <f t="shared" si="3"/>
        <v>1383.8802199041545</v>
      </c>
      <c r="G51" s="392">
        <v>0</v>
      </c>
      <c r="H51" s="391">
        <f t="shared" si="22"/>
        <v>1038208.7680595467</v>
      </c>
      <c r="I51" s="144">
        <f t="shared" si="21"/>
        <v>803567.01444763725</v>
      </c>
      <c r="J51" s="385">
        <f t="shared" si="23"/>
        <v>728401.85041522153</v>
      </c>
      <c r="K51" s="419">
        <f>LOOKUP(K$9+A51-1,Investment!AG$7:AG$99,Investment!AH$7:AH$99)</f>
        <v>0.184</v>
      </c>
      <c r="L51" s="393">
        <f t="shared" si="24"/>
        <v>8727222.0417404808</v>
      </c>
      <c r="M51" s="394">
        <f t="shared" si="25"/>
        <v>1825311.6331523326</v>
      </c>
      <c r="N51" s="395">
        <f t="shared" si="26"/>
        <v>1092299.5425419987</v>
      </c>
    </row>
    <row r="52" spans="1:14">
      <c r="A52" s="389">
        <v>43</v>
      </c>
      <c r="B52" s="390">
        <f t="shared" si="19"/>
        <v>2756.6933592298737</v>
      </c>
      <c r="C52" s="391">
        <f t="shared" si="20"/>
        <v>1358.3231382112403</v>
      </c>
      <c r="D52" s="385">
        <f t="shared" si="2"/>
        <v>1398.3702210186334</v>
      </c>
      <c r="E52" s="363">
        <v>0</v>
      </c>
      <c r="F52" s="319">
        <f t="shared" si="3"/>
        <v>1398.3702210186334</v>
      </c>
      <c r="G52" s="392">
        <v>0</v>
      </c>
      <c r="H52" s="391">
        <f t="shared" si="22"/>
        <v>1069355.0311013332</v>
      </c>
      <c r="I52" s="144">
        <f t="shared" si="21"/>
        <v>828484.02488106652</v>
      </c>
      <c r="J52" s="385">
        <f t="shared" si="23"/>
        <v>762077.74108864192</v>
      </c>
      <c r="K52" s="419">
        <f>LOOKUP(K$9+A52-1,Investment!AG$7:AG$99,Investment!AH$7:AH$99)</f>
        <v>0.184</v>
      </c>
      <c r="L52" s="393">
        <f t="shared" si="24"/>
        <v>10314878.439282963</v>
      </c>
      <c r="M52" s="394">
        <f t="shared" si="25"/>
        <v>2026664.5430553996</v>
      </c>
      <c r="N52" s="395">
        <f t="shared" si="26"/>
        <v>1194841.9739285649</v>
      </c>
    </row>
    <row r="53" spans="1:14">
      <c r="A53" s="389">
        <v>44</v>
      </c>
      <c r="B53" s="390">
        <f t="shared" si="19"/>
        <v>2811.8272264144712</v>
      </c>
      <c r="C53" s="391">
        <f t="shared" si="20"/>
        <v>1399.0728323575775</v>
      </c>
      <c r="D53" s="385">
        <f t="shared" si="2"/>
        <v>1412.7543940568937</v>
      </c>
      <c r="E53" s="363">
        <v>0</v>
      </c>
      <c r="F53" s="319">
        <f t="shared" si="3"/>
        <v>1412.7543940568937</v>
      </c>
      <c r="G53" s="392">
        <v>0</v>
      </c>
      <c r="H53" s="391">
        <f t="shared" si="22"/>
        <v>1101435.6820343733</v>
      </c>
      <c r="I53" s="144">
        <f t="shared" si="21"/>
        <v>854148.54562749865</v>
      </c>
      <c r="J53" s="385">
        <f t="shared" si="23"/>
        <v>797932.86377279565</v>
      </c>
      <c r="K53" s="419">
        <f>LOOKUP(K$9+A53-1,Investment!AG$7:AG$99,Investment!AH$7:AH$99)</f>
        <v>0.184</v>
      </c>
      <c r="L53" s="393">
        <f t="shared" si="24"/>
        <v>12194476.890818693</v>
      </c>
      <c r="M53" s="394">
        <f t="shared" si="25"/>
        <v>2251997.8927325928</v>
      </c>
      <c r="N53" s="395">
        <f t="shared" si="26"/>
        <v>1308482.9242144213</v>
      </c>
    </row>
    <row r="54" spans="1:14">
      <c r="A54" s="389">
        <v>45</v>
      </c>
      <c r="B54" s="390">
        <f t="shared" si="19"/>
        <v>2868.0637709427606</v>
      </c>
      <c r="C54" s="391">
        <f t="shared" si="20"/>
        <v>1441.045017328305</v>
      </c>
      <c r="D54" s="385">
        <f t="shared" si="2"/>
        <v>1427.0187536144556</v>
      </c>
      <c r="E54" s="363">
        <v>0</v>
      </c>
      <c r="F54" s="319">
        <f t="shared" si="3"/>
        <v>1427.0187536144556</v>
      </c>
      <c r="G54" s="392">
        <v>0</v>
      </c>
      <c r="H54" s="391">
        <f t="shared" si="22"/>
        <v>1134478.7524954046</v>
      </c>
      <c r="I54" s="144">
        <f t="shared" si="21"/>
        <v>880583.0019963237</v>
      </c>
      <c r="J54" s="385">
        <f t="shared" si="23"/>
        <v>836121.24803492718</v>
      </c>
      <c r="K54" s="419">
        <f>LOOKUP(K$9+A54-1,Investment!AG$7:AG$99,Investment!AH$7:AH$99)</f>
        <v>0.184</v>
      </c>
      <c r="L54" s="393">
        <f t="shared" si="24"/>
        <v>14419736.289599583</v>
      </c>
      <c r="M54" s="394">
        <f t="shared" si="25"/>
        <v>2504190.8501777411</v>
      </c>
      <c r="N54" s="395">
        <f t="shared" si="26"/>
        <v>1434444.7393618037</v>
      </c>
    </row>
    <row r="55" spans="1:14">
      <c r="A55" s="389">
        <v>46</v>
      </c>
      <c r="B55" s="390">
        <f t="shared" si="19"/>
        <v>2925.4250463616158</v>
      </c>
      <c r="C55" s="391">
        <f t="shared" si="20"/>
        <v>1484.2763678481542</v>
      </c>
      <c r="D55" s="385">
        <f t="shared" si="2"/>
        <v>1441.1486785134616</v>
      </c>
      <c r="E55" s="363">
        <v>0</v>
      </c>
      <c r="F55" s="319">
        <f t="shared" si="3"/>
        <v>1441.1486785134616</v>
      </c>
      <c r="G55" s="392">
        <v>0</v>
      </c>
      <c r="H55" s="391">
        <f t="shared" si="22"/>
        <v>1168513.1150702666</v>
      </c>
      <c r="I55" s="144">
        <f t="shared" si="21"/>
        <v>907810.49205621332</v>
      </c>
      <c r="J55" s="385">
        <f t="shared" si="23"/>
        <v>876807.88652651443</v>
      </c>
      <c r="K55" s="419">
        <f>LOOKUP(K$9+A55-1,Investment!AG$7:AG$99,Investment!AH$7:AH$99)</f>
        <v>0.184</v>
      </c>
      <c r="L55" s="393">
        <f t="shared" si="24"/>
        <v>17054259.995035645</v>
      </c>
      <c r="M55" s="394">
        <f t="shared" si="25"/>
        <v>2786468.2684506271</v>
      </c>
      <c r="N55" s="395">
        <f t="shared" si="26"/>
        <v>1574084.4075220919</v>
      </c>
    </row>
    <row r="56" spans="1:14">
      <c r="A56" s="389">
        <v>47</v>
      </c>
      <c r="B56" s="390">
        <f t="shared" si="19"/>
        <v>2983.9335472888483</v>
      </c>
      <c r="C56" s="391">
        <f t="shared" si="20"/>
        <v>1528.8046588835987</v>
      </c>
      <c r="D56" s="385">
        <f t="shared" si="2"/>
        <v>1455.1288884052497</v>
      </c>
      <c r="E56" s="363">
        <v>0</v>
      </c>
      <c r="F56" s="319">
        <f t="shared" si="3"/>
        <v>1455.1288884052497</v>
      </c>
      <c r="G56" s="392">
        <v>0</v>
      </c>
      <c r="H56" s="391">
        <f t="shared" si="22"/>
        <v>1203568.5085223748</v>
      </c>
      <c r="I56" s="144">
        <f t="shared" si="21"/>
        <v>935854.80681789981</v>
      </c>
      <c r="J56" s="385">
        <f t="shared" si="23"/>
        <v>920169.51055989577</v>
      </c>
      <c r="K56" s="419">
        <f>LOOKUP(K$9+A56-1,Investment!AG$7:AG$99,Investment!AH$7:AH$99)</f>
        <v>0.184</v>
      </c>
      <c r="L56" s="393">
        <f t="shared" si="24"/>
        <v>20173354.583024886</v>
      </c>
      <c r="M56" s="394">
        <f t="shared" si="25"/>
        <v>3102442.1762211048</v>
      </c>
      <c r="N56" s="395">
        <f t="shared" si="26"/>
        <v>1728908.3779779498</v>
      </c>
    </row>
    <row r="57" spans="1:14">
      <c r="A57" s="389">
        <v>48</v>
      </c>
      <c r="B57" s="390">
        <f t="shared" si="19"/>
        <v>3043.6122182346253</v>
      </c>
      <c r="C57" s="391">
        <f t="shared" si="20"/>
        <v>1574.6687986501067</v>
      </c>
      <c r="D57" s="385">
        <f t="shared" si="2"/>
        <v>1468.9434195845186</v>
      </c>
      <c r="E57" s="363">
        <v>0</v>
      </c>
      <c r="F57" s="319">
        <f t="shared" si="3"/>
        <v>1468.9434195845186</v>
      </c>
      <c r="G57" s="392">
        <v>0</v>
      </c>
      <c r="H57" s="391">
        <f t="shared" si="22"/>
        <v>1239675.5637780461</v>
      </c>
      <c r="I57" s="144">
        <f t="shared" si="21"/>
        <v>964740.45102243673</v>
      </c>
      <c r="J57" s="385">
        <f t="shared" si="23"/>
        <v>966395.42027468863</v>
      </c>
      <c r="K57" s="419">
        <f>LOOKUP(K$9+A57-1,Investment!AG$7:AG$99,Investment!AH$7:AH$99)</f>
        <v>0.184</v>
      </c>
      <c r="L57" s="393">
        <f t="shared" si="24"/>
        <v>23866183.246657845</v>
      </c>
      <c r="M57" s="394">
        <f t="shared" si="25"/>
        <v>3456158.2474843767</v>
      </c>
      <c r="N57" s="395">
        <f t="shared" si="26"/>
        <v>1900589.0104736888</v>
      </c>
    </row>
    <row r="58" spans="1:14">
      <c r="A58" s="389">
        <v>49</v>
      </c>
      <c r="B58" s="390">
        <f t="shared" si="19"/>
        <v>3104.4844625993178</v>
      </c>
      <c r="C58" s="391">
        <f t="shared" si="20"/>
        <v>1621.90886260961</v>
      </c>
      <c r="D58" s="385">
        <f t="shared" si="2"/>
        <v>1482.5755999897078</v>
      </c>
      <c r="E58" s="363">
        <v>0</v>
      </c>
      <c r="F58" s="319">
        <f t="shared" si="3"/>
        <v>1482.5755999897078</v>
      </c>
      <c r="G58" s="392">
        <v>0</v>
      </c>
      <c r="H58" s="391">
        <f t="shared" si="22"/>
        <v>1276865.8306913874</v>
      </c>
      <c r="I58" s="144">
        <f t="shared" si="21"/>
        <v>994492.66455311002</v>
      </c>
      <c r="J58" s="385">
        <f t="shared" si="23"/>
        <v>1015688.3732253594</v>
      </c>
      <c r="K58" s="419">
        <f>LOOKUP(K$9+A58-1,Investment!AG$7:AG$99,Investment!AH$7:AH$99)</f>
        <v>0.184</v>
      </c>
      <c r="L58" s="393">
        <f t="shared" si="24"/>
        <v>28238315.422976308</v>
      </c>
      <c r="M58" s="394">
        <f t="shared" si="25"/>
        <v>3852147.8479582616</v>
      </c>
      <c r="N58" s="395">
        <f t="shared" si="26"/>
        <v>2090982.8342868055</v>
      </c>
    </row>
    <row r="59" spans="1:14" ht="13.8" thickBot="1">
      <c r="A59" s="396">
        <v>50</v>
      </c>
      <c r="B59" s="397">
        <f t="shared" si="19"/>
        <v>3166.5741518513041</v>
      </c>
      <c r="C59" s="398">
        <f t="shared" si="20"/>
        <v>1670.5661284878986</v>
      </c>
      <c r="D59" s="399">
        <f t="shared" si="2"/>
        <v>1496.0080233634055</v>
      </c>
      <c r="E59" s="411">
        <v>0</v>
      </c>
      <c r="F59" s="336">
        <f t="shared" si="3"/>
        <v>1496.0080233634055</v>
      </c>
      <c r="G59" s="400">
        <v>0</v>
      </c>
      <c r="H59" s="398">
        <f t="shared" si="22"/>
        <v>1315171.8056121292</v>
      </c>
      <c r="I59" s="422">
        <f t="shared" si="21"/>
        <v>1025137.4444897033</v>
      </c>
      <c r="J59" s="399">
        <f t="shared" si="23"/>
        <v>1068265.5354898265</v>
      </c>
      <c r="K59" s="423">
        <f>LOOKUP(K$9+A59-1,Investment!AG$7:AG$99,Investment!AH$7:AH$99)</f>
        <v>0.184</v>
      </c>
      <c r="L59" s="401">
        <f t="shared" si="24"/>
        <v>33414745.551391054</v>
      </c>
      <c r="M59" s="402">
        <f t="shared" si="25"/>
        <v>4295486.3273749137</v>
      </c>
      <c r="N59" s="403">
        <f t="shared" si="26"/>
        <v>2302150.8161228029</v>
      </c>
    </row>
    <row r="60" spans="1:14">
      <c r="M60" s="79"/>
    </row>
    <row r="61" spans="1:14">
      <c r="A61" s="425" t="s">
        <v>3640</v>
      </c>
    </row>
    <row r="62" spans="1:14">
      <c r="A62" s="425" t="s">
        <v>3641</v>
      </c>
    </row>
    <row r="63" spans="1:14">
      <c r="A63" s="425" t="s">
        <v>3642</v>
      </c>
      <c r="B63" s="17"/>
      <c r="C63" s="17"/>
      <c r="D63" s="17"/>
      <c r="E63" s="17"/>
      <c r="F63" s="17"/>
      <c r="G63" s="366"/>
      <c r="H63" s="17"/>
      <c r="I63" s="17"/>
    </row>
    <row r="64" spans="1:14">
      <c r="A64" s="425" t="s">
        <v>3643</v>
      </c>
      <c r="B64" s="17"/>
      <c r="C64" s="17"/>
      <c r="D64" s="17"/>
      <c r="E64" s="17"/>
      <c r="F64" s="17"/>
      <c r="G64" s="366"/>
      <c r="H64" s="17"/>
      <c r="I64" s="17"/>
    </row>
    <row r="65" spans="1:9">
      <c r="A65" s="425" t="s">
        <v>3644</v>
      </c>
      <c r="B65" s="17"/>
      <c r="C65" s="17"/>
      <c r="D65" s="17"/>
      <c r="E65" s="17"/>
      <c r="F65" s="17"/>
      <c r="G65" s="366"/>
      <c r="H65" s="17"/>
      <c r="I65" s="17"/>
    </row>
    <row r="66" spans="1:9">
      <c r="A66" s="426" t="s">
        <v>3645</v>
      </c>
    </row>
    <row r="67" spans="1:9">
      <c r="A67" s="425" t="s">
        <v>3646</v>
      </c>
    </row>
    <row r="68" spans="1:9">
      <c r="A68" s="425" t="s">
        <v>3647</v>
      </c>
    </row>
    <row r="69" spans="1:9">
      <c r="A69" s="425" t="s">
        <v>3648</v>
      </c>
    </row>
  </sheetData>
  <mergeCells count="43">
    <mergeCell ref="A2:N2"/>
    <mergeCell ref="L3:M3"/>
    <mergeCell ref="L4:M4"/>
    <mergeCell ref="L5:M5"/>
    <mergeCell ref="L6:M6"/>
    <mergeCell ref="H3:J3"/>
    <mergeCell ref="H4:J4"/>
    <mergeCell ref="I8:I9"/>
    <mergeCell ref="A6:C6"/>
    <mergeCell ref="A4:C4"/>
    <mergeCell ref="E4:F4"/>
    <mergeCell ref="B8:F8"/>
    <mergeCell ref="I6:J6"/>
    <mergeCell ref="U9:U10"/>
    <mergeCell ref="Y9:Y10"/>
    <mergeCell ref="AA9:AB9"/>
    <mergeCell ref="AB12:AD12"/>
    <mergeCell ref="E6:F6"/>
    <mergeCell ref="J7:N7"/>
    <mergeCell ref="B7:I7"/>
    <mergeCell ref="R8:S9"/>
    <mergeCell ref="T8:T10"/>
    <mergeCell ref="V8:X9"/>
    <mergeCell ref="AA8:AB8"/>
    <mergeCell ref="H8:H9"/>
    <mergeCell ref="G8:G9"/>
    <mergeCell ref="AA5:AE6"/>
    <mergeCell ref="R6:Y6"/>
    <mergeCell ref="R7:Y7"/>
    <mergeCell ref="AA7:AB7"/>
    <mergeCell ref="A5:C5"/>
    <mergeCell ref="E5:F5"/>
    <mergeCell ref="Q5:R5"/>
    <mergeCell ref="T5:U5"/>
    <mergeCell ref="W5:X5"/>
    <mergeCell ref="I5:J5"/>
    <mergeCell ref="Q4:R4"/>
    <mergeCell ref="T4:U4"/>
    <mergeCell ref="W4:X4"/>
    <mergeCell ref="A3:C3"/>
    <mergeCell ref="E3:F3"/>
    <mergeCell ref="Q3:V3"/>
    <mergeCell ref="W3:X3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3222"/>
  <sheetViews>
    <sheetView workbookViewId="0">
      <selection activeCell="J1" sqref="J1"/>
    </sheetView>
  </sheetViews>
  <sheetFormatPr defaultRowHeight="13.2"/>
  <cols>
    <col min="2" max="2" width="24.5546875" customWidth="1"/>
    <col min="3" max="3" width="31.21875" customWidth="1"/>
    <col min="4" max="4" width="9.5546875" customWidth="1"/>
    <col min="5" max="5" width="24.109375" customWidth="1"/>
    <col min="6" max="6" width="24" customWidth="1"/>
    <col min="10" max="10" width="10.5546875" customWidth="1"/>
  </cols>
  <sheetData>
    <row r="1" spans="1:10" ht="14.4">
      <c r="A1" s="186"/>
      <c r="B1" s="186" t="s">
        <v>101</v>
      </c>
      <c r="C1" s="186" t="s">
        <v>102</v>
      </c>
      <c r="D1" s="186" t="s">
        <v>103</v>
      </c>
      <c r="E1" s="188" t="s">
        <v>104</v>
      </c>
      <c r="F1" s="188" t="s">
        <v>105</v>
      </c>
      <c r="G1" s="186" t="s">
        <v>106</v>
      </c>
      <c r="H1" s="186"/>
      <c r="I1" s="186"/>
      <c r="J1" s="186"/>
    </row>
    <row r="2" spans="1:10" ht="14.4">
      <c r="A2" s="186">
        <v>1</v>
      </c>
      <c r="B2" s="186" t="s">
        <v>107</v>
      </c>
      <c r="C2" s="186" t="s">
        <v>108</v>
      </c>
      <c r="D2" s="186">
        <v>8.5</v>
      </c>
      <c r="E2" s="186">
        <v>-2.59</v>
      </c>
      <c r="F2" s="186">
        <v>-3.02</v>
      </c>
      <c r="G2" s="186">
        <v>0.54155627900000003</v>
      </c>
      <c r="H2" s="186" t="s">
        <v>109</v>
      </c>
      <c r="I2" s="186"/>
    </row>
    <row r="3" spans="1:10" ht="14.4">
      <c r="A3" s="186">
        <v>2</v>
      </c>
      <c r="B3" s="186" t="s">
        <v>110</v>
      </c>
      <c r="C3" s="186" t="s">
        <v>111</v>
      </c>
      <c r="D3" s="186">
        <v>5.2</v>
      </c>
      <c r="E3" s="186">
        <v>-2.2400000000000002</v>
      </c>
      <c r="F3" s="186">
        <v>-2.11</v>
      </c>
      <c r="G3" s="186">
        <v>0.65277959399999996</v>
      </c>
      <c r="I3" s="186"/>
      <c r="J3" s="186"/>
    </row>
    <row r="4" spans="1:10" ht="14.4">
      <c r="A4" s="186">
        <v>3</v>
      </c>
      <c r="B4" s="186" t="s">
        <v>112</v>
      </c>
      <c r="C4" s="186" t="s">
        <v>113</v>
      </c>
      <c r="D4" s="186">
        <v>13.8</v>
      </c>
      <c r="E4" s="186">
        <v>-0.56999999999999995</v>
      </c>
      <c r="F4" s="186">
        <v>-0.57999999999999996</v>
      </c>
      <c r="G4" s="186">
        <v>0.89017455499999998</v>
      </c>
      <c r="H4" s="186"/>
      <c r="I4" s="186"/>
      <c r="J4" s="186"/>
    </row>
    <row r="5" spans="1:10" ht="15" thickBot="1">
      <c r="A5" s="186">
        <v>4</v>
      </c>
      <c r="B5" s="186" t="s">
        <v>114</v>
      </c>
      <c r="C5" s="186" t="s">
        <v>115</v>
      </c>
      <c r="D5" s="186">
        <v>41.3</v>
      </c>
      <c r="E5" s="186">
        <v>-0.17</v>
      </c>
      <c r="F5" s="186">
        <v>-0.11</v>
      </c>
      <c r="G5" s="186">
        <v>0.97822838999999995</v>
      </c>
      <c r="H5" s="186"/>
      <c r="I5" s="186"/>
      <c r="J5" s="186" t="s">
        <v>105</v>
      </c>
    </row>
    <row r="6" spans="1:10" ht="14.4">
      <c r="A6" s="186">
        <v>5</v>
      </c>
      <c r="B6" s="186" t="s">
        <v>112</v>
      </c>
      <c r="C6" s="186" t="s">
        <v>117</v>
      </c>
      <c r="D6" s="186">
        <v>72.8</v>
      </c>
      <c r="E6" s="186">
        <v>-0.23</v>
      </c>
      <c r="F6" s="186">
        <v>0.06</v>
      </c>
      <c r="G6" s="186">
        <v>1.012068647</v>
      </c>
      <c r="H6" s="186"/>
      <c r="I6" s="189" t="s">
        <v>97</v>
      </c>
      <c r="J6" s="699">
        <f>QUARTILE(F$2:F$3220,0)</f>
        <v>-3.02</v>
      </c>
    </row>
    <row r="7" spans="1:10" ht="14.4">
      <c r="A7" s="186">
        <v>6</v>
      </c>
      <c r="B7" s="186" t="s">
        <v>118</v>
      </c>
      <c r="C7" s="186" t="s">
        <v>119</v>
      </c>
      <c r="D7" s="186">
        <v>10.4</v>
      </c>
      <c r="E7" s="186">
        <v>0.59</v>
      </c>
      <c r="F7" s="186">
        <v>0.48</v>
      </c>
      <c r="G7" s="186">
        <v>1.100506287</v>
      </c>
      <c r="H7" s="186"/>
      <c r="I7" s="190">
        <v>0.25</v>
      </c>
      <c r="J7" s="699">
        <f>QUARTILE(F$2:F$3220,1)</f>
        <v>5.72</v>
      </c>
    </row>
    <row r="8" spans="1:10" ht="14.4">
      <c r="A8" s="186">
        <v>7</v>
      </c>
      <c r="B8" s="186" t="s">
        <v>120</v>
      </c>
      <c r="C8" s="186" t="s">
        <v>121</v>
      </c>
      <c r="D8" s="186">
        <v>4.7</v>
      </c>
      <c r="E8" s="186">
        <v>0.73</v>
      </c>
      <c r="F8" s="186">
        <v>0.74</v>
      </c>
      <c r="G8" s="186">
        <v>1.1588812340000001</v>
      </c>
      <c r="H8" s="186"/>
      <c r="I8" s="190">
        <v>0.5</v>
      </c>
      <c r="J8" s="699">
        <f>QUARTILE(F$2:F$3220,2)</f>
        <v>6.99</v>
      </c>
    </row>
    <row r="9" spans="1:10" ht="14.4">
      <c r="A9" s="186">
        <v>8</v>
      </c>
      <c r="B9" s="186" t="s">
        <v>122</v>
      </c>
      <c r="C9" s="186" t="s">
        <v>123</v>
      </c>
      <c r="D9" s="186">
        <v>95.2</v>
      </c>
      <c r="E9" s="186">
        <v>1.1599999999999999</v>
      </c>
      <c r="F9" s="186">
        <v>0.84</v>
      </c>
      <c r="G9" s="186">
        <v>1.1821068669999999</v>
      </c>
      <c r="H9" s="186"/>
      <c r="I9" s="190">
        <v>0.75</v>
      </c>
      <c r="J9" s="699">
        <f>QUARTILE(F$2:F$3220,3)</f>
        <v>8.41</v>
      </c>
    </row>
    <row r="10" spans="1:10" ht="15" thickBot="1">
      <c r="A10" s="186">
        <v>9</v>
      </c>
      <c r="B10" s="186" t="s">
        <v>124</v>
      </c>
      <c r="C10" s="186" t="s">
        <v>125</v>
      </c>
      <c r="D10" s="186">
        <v>12.1</v>
      </c>
      <c r="E10" s="186">
        <v>0.93</v>
      </c>
      <c r="F10" s="186">
        <v>0.92</v>
      </c>
      <c r="G10" s="186">
        <v>1.2010050590000001</v>
      </c>
      <c r="H10" s="186"/>
      <c r="I10" s="191" t="s">
        <v>98</v>
      </c>
      <c r="J10" s="699">
        <f>QUARTILE(F$2:F$3220,4)</f>
        <v>15.11</v>
      </c>
    </row>
    <row r="11" spans="1:10" ht="14.4">
      <c r="A11" s="186">
        <v>10</v>
      </c>
      <c r="B11" s="186" t="s">
        <v>126</v>
      </c>
      <c r="C11" s="186" t="s">
        <v>127</v>
      </c>
      <c r="D11" s="186">
        <v>15.4</v>
      </c>
      <c r="E11" s="186">
        <v>1.24</v>
      </c>
      <c r="F11" s="186">
        <v>1.21</v>
      </c>
      <c r="G11" s="186">
        <v>1.271945482</v>
      </c>
      <c r="H11" s="186"/>
      <c r="I11" s="186"/>
      <c r="J11" s="186"/>
    </row>
    <row r="12" spans="1:10" ht="14.4">
      <c r="A12" s="186">
        <v>11</v>
      </c>
      <c r="B12" s="186" t="s">
        <v>128</v>
      </c>
      <c r="C12" s="186" t="s">
        <v>129</v>
      </c>
      <c r="D12" s="186">
        <v>23.4</v>
      </c>
      <c r="E12" s="186">
        <v>1.33</v>
      </c>
      <c r="F12" s="186">
        <v>1.25</v>
      </c>
      <c r="G12" s="186">
        <v>1.282037232</v>
      </c>
      <c r="H12" s="186"/>
      <c r="I12" s="186"/>
      <c r="J12" s="186"/>
    </row>
    <row r="13" spans="1:10" ht="14.4">
      <c r="A13" s="186">
        <v>12</v>
      </c>
      <c r="B13" s="186" t="s">
        <v>126</v>
      </c>
      <c r="C13" s="186" t="s">
        <v>130</v>
      </c>
      <c r="D13" s="186">
        <v>0.5</v>
      </c>
      <c r="E13" s="186">
        <v>1.33</v>
      </c>
      <c r="F13" s="186">
        <v>1.3</v>
      </c>
      <c r="G13" s="186">
        <v>1.2947589070000001</v>
      </c>
      <c r="H13" s="186"/>
      <c r="I13" s="698" t="s">
        <v>3711</v>
      </c>
      <c r="J13" s="186"/>
    </row>
    <row r="14" spans="1:10" ht="14.4">
      <c r="A14" s="186">
        <v>13</v>
      </c>
      <c r="B14" s="186" t="s">
        <v>131</v>
      </c>
      <c r="C14" s="186" t="s">
        <v>132</v>
      </c>
      <c r="D14" s="186">
        <v>97</v>
      </c>
      <c r="E14" s="186">
        <v>1.38</v>
      </c>
      <c r="F14" s="186">
        <v>1.3</v>
      </c>
      <c r="G14" s="186">
        <v>1.2947589070000001</v>
      </c>
      <c r="H14" s="186"/>
      <c r="I14" s="186"/>
      <c r="J14" s="186"/>
    </row>
    <row r="15" spans="1:10" ht="14.4">
      <c r="A15" s="186">
        <v>14</v>
      </c>
      <c r="B15" s="186" t="s">
        <v>133</v>
      </c>
      <c r="C15" s="186" t="s">
        <v>134</v>
      </c>
      <c r="D15" s="186">
        <v>17.7</v>
      </c>
      <c r="E15" s="186">
        <v>1.39</v>
      </c>
      <c r="F15" s="186">
        <v>1.42</v>
      </c>
      <c r="G15" s="186">
        <v>1.325782018</v>
      </c>
      <c r="H15" s="186"/>
      <c r="I15" s="186"/>
      <c r="J15" s="186"/>
    </row>
    <row r="16" spans="1:10" ht="14.4">
      <c r="A16" s="186">
        <v>15</v>
      </c>
      <c r="B16" s="186" t="s">
        <v>118</v>
      </c>
      <c r="C16" s="186" t="s">
        <v>135</v>
      </c>
      <c r="D16" s="186">
        <v>76.3</v>
      </c>
      <c r="E16" s="186">
        <v>1.23</v>
      </c>
      <c r="F16" s="186">
        <v>1.42</v>
      </c>
      <c r="G16" s="186">
        <v>1.325782018</v>
      </c>
      <c r="H16" s="186"/>
      <c r="I16" s="186"/>
      <c r="J16" s="186"/>
    </row>
    <row r="17" spans="1:7" ht="14.4">
      <c r="A17" s="186">
        <v>16</v>
      </c>
      <c r="B17" s="186" t="s">
        <v>126</v>
      </c>
      <c r="C17" s="186" t="s">
        <v>136</v>
      </c>
      <c r="D17" s="186">
        <v>336.8</v>
      </c>
      <c r="E17" s="186">
        <v>1.57</v>
      </c>
      <c r="F17" s="186">
        <v>1.53</v>
      </c>
      <c r="G17" s="186">
        <v>1.354839106</v>
      </c>
    </row>
    <row r="18" spans="1:7" ht="14.4">
      <c r="A18" s="186">
        <v>17</v>
      </c>
      <c r="B18" s="186" t="s">
        <v>118</v>
      </c>
      <c r="C18" s="186" t="s">
        <v>137</v>
      </c>
      <c r="D18" s="186">
        <v>87.8</v>
      </c>
      <c r="E18" s="186">
        <v>1.7</v>
      </c>
      <c r="F18" s="186">
        <v>1.6</v>
      </c>
      <c r="G18" s="186">
        <v>1.373643891</v>
      </c>
    </row>
    <row r="19" spans="1:7" ht="14.4">
      <c r="A19" s="186">
        <v>18</v>
      </c>
      <c r="B19" s="186" t="s">
        <v>138</v>
      </c>
      <c r="C19" s="186" t="s">
        <v>139</v>
      </c>
      <c r="D19" s="186">
        <v>2.4</v>
      </c>
      <c r="E19" s="186">
        <v>1.62</v>
      </c>
      <c r="F19" s="186">
        <v>1.81</v>
      </c>
      <c r="G19" s="186">
        <v>1.4315573429999999</v>
      </c>
    </row>
    <row r="20" spans="1:7" ht="14.4">
      <c r="A20" s="186">
        <v>19</v>
      </c>
      <c r="B20" s="186" t="s">
        <v>124</v>
      </c>
      <c r="C20" s="186" t="s">
        <v>140</v>
      </c>
      <c r="D20" s="186">
        <v>126.4</v>
      </c>
      <c r="E20" s="186">
        <v>1.6</v>
      </c>
      <c r="F20" s="186">
        <v>1.83</v>
      </c>
      <c r="G20" s="186">
        <v>1.437192279</v>
      </c>
    </row>
    <row r="21" spans="1:7" ht="14.4">
      <c r="A21" s="186">
        <v>20</v>
      </c>
      <c r="B21" s="186" t="s">
        <v>141</v>
      </c>
      <c r="C21" s="186" t="s">
        <v>142</v>
      </c>
      <c r="D21" s="186">
        <v>18.100000000000001</v>
      </c>
      <c r="E21" s="186">
        <v>1.75</v>
      </c>
      <c r="F21" s="186">
        <v>1.84</v>
      </c>
      <c r="G21" s="186">
        <v>1.4400176419999999</v>
      </c>
    </row>
    <row r="22" spans="1:7" ht="14.4">
      <c r="A22" s="186">
        <v>21</v>
      </c>
      <c r="B22" s="186" t="s">
        <v>143</v>
      </c>
      <c r="C22" s="186" t="s">
        <v>144</v>
      </c>
      <c r="D22" s="186">
        <v>43.3</v>
      </c>
      <c r="E22" s="186">
        <v>2.16</v>
      </c>
      <c r="F22" s="186">
        <v>1.92</v>
      </c>
      <c r="G22" s="186">
        <v>1.4628112769999999</v>
      </c>
    </row>
    <row r="23" spans="1:7" ht="14.4">
      <c r="A23" s="186">
        <v>22</v>
      </c>
      <c r="B23" s="186" t="s">
        <v>124</v>
      </c>
      <c r="C23" s="186" t="s">
        <v>145</v>
      </c>
      <c r="D23" s="186">
        <v>23</v>
      </c>
      <c r="E23" s="186">
        <v>2.0099999999999998</v>
      </c>
      <c r="F23" s="186">
        <v>1.99</v>
      </c>
      <c r="G23" s="186">
        <v>1.483036486</v>
      </c>
    </row>
    <row r="24" spans="1:7" ht="14.4">
      <c r="A24" s="186">
        <v>23</v>
      </c>
      <c r="B24" s="186" t="s">
        <v>146</v>
      </c>
      <c r="C24" s="186" t="s">
        <v>147</v>
      </c>
      <c r="D24" s="186">
        <v>0.1</v>
      </c>
      <c r="E24" s="186">
        <v>1.86</v>
      </c>
      <c r="F24" s="186">
        <v>2.0699999999999998</v>
      </c>
      <c r="G24" s="186">
        <v>1.5064762709999999</v>
      </c>
    </row>
    <row r="25" spans="1:7" ht="14.4">
      <c r="A25" s="186">
        <v>24</v>
      </c>
      <c r="B25" s="186" t="s">
        <v>148</v>
      </c>
      <c r="C25" s="186" t="s">
        <v>149</v>
      </c>
      <c r="D25" s="186">
        <v>2.9</v>
      </c>
      <c r="E25" s="186">
        <v>1.91</v>
      </c>
      <c r="F25" s="186">
        <v>2.1</v>
      </c>
      <c r="G25" s="186">
        <v>1.515356589</v>
      </c>
    </row>
    <row r="26" spans="1:7" ht="14.4">
      <c r="A26" s="186">
        <v>25</v>
      </c>
      <c r="B26" s="186" t="s">
        <v>131</v>
      </c>
      <c r="C26" s="186" t="s">
        <v>150</v>
      </c>
      <c r="D26" s="186">
        <v>133.80000000000001</v>
      </c>
      <c r="E26" s="186">
        <v>1.64</v>
      </c>
      <c r="F26" s="186">
        <v>2.1</v>
      </c>
      <c r="G26" s="186">
        <v>1.515356589</v>
      </c>
    </row>
    <row r="27" spans="1:7" ht="14.4">
      <c r="A27" s="186">
        <v>26</v>
      </c>
      <c r="B27" s="186" t="s">
        <v>146</v>
      </c>
      <c r="C27" s="186" t="s">
        <v>151</v>
      </c>
      <c r="D27" s="186">
        <v>5</v>
      </c>
      <c r="E27" s="186" t="s">
        <v>152</v>
      </c>
      <c r="F27" s="186">
        <v>2.12</v>
      </c>
      <c r="G27" s="186">
        <v>1.5213044040000001</v>
      </c>
    </row>
    <row r="28" spans="1:7" ht="14.4">
      <c r="A28" s="186">
        <v>27</v>
      </c>
      <c r="B28" s="186" t="s">
        <v>153</v>
      </c>
      <c r="C28" s="186" t="s">
        <v>154</v>
      </c>
      <c r="D28" s="186">
        <v>13.4</v>
      </c>
      <c r="E28" s="186">
        <v>2.19</v>
      </c>
      <c r="F28" s="186">
        <v>2.15</v>
      </c>
      <c r="G28" s="186">
        <v>1.5302677280000001</v>
      </c>
    </row>
    <row r="29" spans="1:7" ht="14.4">
      <c r="A29" s="186">
        <v>28</v>
      </c>
      <c r="B29" s="186" t="s">
        <v>133</v>
      </c>
      <c r="C29" s="186" t="s">
        <v>155</v>
      </c>
      <c r="D29" s="186">
        <v>136.6</v>
      </c>
      <c r="E29" s="186">
        <v>1.89</v>
      </c>
      <c r="F29" s="186">
        <v>2.23</v>
      </c>
      <c r="G29" s="186">
        <v>1.55441585</v>
      </c>
    </row>
    <row r="30" spans="1:7" ht="14.4">
      <c r="A30" s="186">
        <v>29</v>
      </c>
      <c r="B30" s="186" t="s">
        <v>131</v>
      </c>
      <c r="C30" s="186" t="s">
        <v>156</v>
      </c>
      <c r="D30" s="186">
        <v>25.2</v>
      </c>
      <c r="E30" s="186">
        <v>2.2400000000000002</v>
      </c>
      <c r="F30" s="186">
        <v>2.23</v>
      </c>
      <c r="G30" s="186">
        <v>1.55441585</v>
      </c>
    </row>
    <row r="31" spans="1:7" ht="14.4">
      <c r="A31" s="186">
        <v>30</v>
      </c>
      <c r="B31" s="186" t="s">
        <v>138</v>
      </c>
      <c r="C31" s="186" t="s">
        <v>157</v>
      </c>
      <c r="D31" s="186">
        <v>4.7</v>
      </c>
      <c r="E31" s="186">
        <v>2.13</v>
      </c>
      <c r="F31" s="186">
        <v>2.3199999999999998</v>
      </c>
      <c r="G31" s="186">
        <v>1.5820151179999999</v>
      </c>
    </row>
    <row r="32" spans="1:7" ht="14.4">
      <c r="A32" s="186">
        <v>31</v>
      </c>
      <c r="B32" s="186" t="s">
        <v>158</v>
      </c>
      <c r="C32" s="186" t="s">
        <v>159</v>
      </c>
      <c r="D32" s="186">
        <v>1.6</v>
      </c>
      <c r="E32" s="186">
        <v>2.2799999999999998</v>
      </c>
      <c r="F32" s="186">
        <v>2.33</v>
      </c>
      <c r="G32" s="186">
        <v>1.5851102800000001</v>
      </c>
    </row>
    <row r="33" spans="1:7" ht="14.4">
      <c r="A33" s="186">
        <v>32</v>
      </c>
      <c r="B33" s="186" t="s">
        <v>146</v>
      </c>
      <c r="C33" s="186" t="s">
        <v>160</v>
      </c>
      <c r="D33" s="186">
        <v>79.2</v>
      </c>
      <c r="E33" s="186">
        <v>1.87</v>
      </c>
      <c r="F33" s="186">
        <v>2.41</v>
      </c>
      <c r="G33" s="186">
        <v>1.610079509</v>
      </c>
    </row>
    <row r="34" spans="1:7" ht="14.4">
      <c r="A34" s="186">
        <v>33</v>
      </c>
      <c r="B34" s="186" t="s">
        <v>158</v>
      </c>
      <c r="C34" s="186" t="s">
        <v>161</v>
      </c>
      <c r="D34" s="186">
        <v>23.9</v>
      </c>
      <c r="E34" s="186">
        <v>2.39</v>
      </c>
      <c r="F34" s="186">
        <v>2.44</v>
      </c>
      <c r="G34" s="186">
        <v>1.619538945</v>
      </c>
    </row>
    <row r="35" spans="1:7" ht="14.4">
      <c r="A35" s="186">
        <v>34</v>
      </c>
      <c r="B35" s="186" t="s">
        <v>162</v>
      </c>
      <c r="C35" s="186" t="s">
        <v>163</v>
      </c>
      <c r="D35" s="186">
        <v>65.5</v>
      </c>
      <c r="E35" s="186">
        <v>2.66</v>
      </c>
      <c r="F35" s="186">
        <v>2.48</v>
      </c>
      <c r="G35" s="186">
        <v>1.632233679</v>
      </c>
    </row>
    <row r="36" spans="1:7" ht="14.4">
      <c r="A36" s="186">
        <v>35</v>
      </c>
      <c r="B36" s="186" t="s">
        <v>164</v>
      </c>
      <c r="C36" s="186" t="s">
        <v>165</v>
      </c>
      <c r="D36" s="186">
        <v>0.1</v>
      </c>
      <c r="E36" s="186">
        <v>2.57</v>
      </c>
      <c r="F36" s="186">
        <v>2.4900000000000002</v>
      </c>
      <c r="G36" s="186">
        <v>1.6354221019999999</v>
      </c>
    </row>
    <row r="37" spans="1:7" ht="14.4">
      <c r="A37" s="186">
        <v>36</v>
      </c>
      <c r="B37" s="186" t="s">
        <v>164</v>
      </c>
      <c r="C37" s="186" t="s">
        <v>166</v>
      </c>
      <c r="D37" s="186">
        <v>39</v>
      </c>
      <c r="E37" s="186">
        <v>2.2999999999999998</v>
      </c>
      <c r="F37" s="186">
        <v>2.5099999999999998</v>
      </c>
      <c r="G37" s="186">
        <v>1.641816706</v>
      </c>
    </row>
    <row r="38" spans="1:7" ht="14.4">
      <c r="A38" s="186">
        <v>37</v>
      </c>
      <c r="B38" s="186" t="s">
        <v>146</v>
      </c>
      <c r="C38" s="186" t="s">
        <v>167</v>
      </c>
      <c r="D38" s="186">
        <v>49</v>
      </c>
      <c r="E38" s="186">
        <v>1.98</v>
      </c>
      <c r="F38" s="186">
        <v>2.52</v>
      </c>
      <c r="G38" s="186">
        <v>1.6450229080000001</v>
      </c>
    </row>
    <row r="39" spans="1:7" ht="14.4">
      <c r="A39" s="186">
        <v>38</v>
      </c>
      <c r="B39" s="186" t="s">
        <v>168</v>
      </c>
      <c r="C39" s="186" t="s">
        <v>169</v>
      </c>
      <c r="D39" s="186">
        <v>0.2</v>
      </c>
      <c r="E39" s="186">
        <v>2.4900000000000002</v>
      </c>
      <c r="F39" s="186">
        <v>2.52</v>
      </c>
      <c r="G39" s="186">
        <v>1.6450229080000001</v>
      </c>
    </row>
    <row r="40" spans="1:7" ht="14.4">
      <c r="A40" s="186">
        <v>39</v>
      </c>
      <c r="B40" s="186" t="s">
        <v>170</v>
      </c>
      <c r="C40" s="186" t="s">
        <v>171</v>
      </c>
      <c r="D40" s="186">
        <v>10.6</v>
      </c>
      <c r="E40" s="186">
        <v>2.42</v>
      </c>
      <c r="F40" s="186">
        <v>2.54</v>
      </c>
      <c r="G40" s="186">
        <v>1.6514531670000001</v>
      </c>
    </row>
    <row r="41" spans="1:7" ht="14.4">
      <c r="A41" s="186">
        <v>40</v>
      </c>
      <c r="B41" s="186" t="s">
        <v>138</v>
      </c>
      <c r="C41" s="186" t="s">
        <v>172</v>
      </c>
      <c r="D41" s="186">
        <v>8.1999999999999993</v>
      </c>
      <c r="E41" s="186">
        <v>2.09</v>
      </c>
      <c r="F41" s="186">
        <v>2.58</v>
      </c>
      <c r="G41" s="186">
        <v>1.664385389</v>
      </c>
    </row>
    <row r="42" spans="1:7" ht="14.4">
      <c r="A42" s="186">
        <v>41</v>
      </c>
      <c r="B42" s="186" t="s">
        <v>148</v>
      </c>
      <c r="C42" s="186" t="s">
        <v>173</v>
      </c>
      <c r="D42" s="186">
        <v>38.5</v>
      </c>
      <c r="E42" s="186">
        <v>2.64</v>
      </c>
      <c r="F42" s="186">
        <v>2.6</v>
      </c>
      <c r="G42" s="186">
        <v>1.670887521</v>
      </c>
    </row>
    <row r="43" spans="1:7" ht="14.4">
      <c r="A43" s="186">
        <v>42</v>
      </c>
      <c r="B43" s="186" t="s">
        <v>162</v>
      </c>
      <c r="C43" s="186" t="s">
        <v>174</v>
      </c>
      <c r="D43" s="186">
        <v>8.6</v>
      </c>
      <c r="E43" s="186">
        <v>2.2599999999999998</v>
      </c>
      <c r="F43" s="186">
        <v>2.63</v>
      </c>
      <c r="G43" s="186">
        <v>1.680685983</v>
      </c>
    </row>
    <row r="44" spans="1:7" ht="14.4">
      <c r="A44" s="186">
        <v>43</v>
      </c>
      <c r="B44" s="186" t="s">
        <v>175</v>
      </c>
      <c r="C44" s="186" t="s">
        <v>176</v>
      </c>
      <c r="D44" s="186">
        <v>101.1</v>
      </c>
      <c r="E44" s="186">
        <v>2.44</v>
      </c>
      <c r="F44" s="186">
        <v>2.63</v>
      </c>
      <c r="G44" s="186">
        <v>1.680685983</v>
      </c>
    </row>
    <row r="45" spans="1:7" ht="14.4">
      <c r="A45" s="186">
        <v>44</v>
      </c>
      <c r="B45" s="186" t="s">
        <v>153</v>
      </c>
      <c r="C45" s="186" t="s">
        <v>177</v>
      </c>
      <c r="D45" s="186">
        <v>4.4000000000000004</v>
      </c>
      <c r="E45" s="186">
        <v>2.4900000000000002</v>
      </c>
      <c r="F45" s="186">
        <v>2.63</v>
      </c>
      <c r="G45" s="186">
        <v>1.680685983</v>
      </c>
    </row>
    <row r="46" spans="1:7" ht="14.4">
      <c r="A46" s="186">
        <v>45</v>
      </c>
      <c r="B46" s="186" t="s">
        <v>178</v>
      </c>
      <c r="C46" s="186" t="s">
        <v>179</v>
      </c>
      <c r="D46" s="186">
        <v>0.1</v>
      </c>
      <c r="E46" s="186">
        <v>2.57</v>
      </c>
      <c r="F46" s="186">
        <v>2.66</v>
      </c>
      <c r="G46" s="186">
        <v>1.6905390170000001</v>
      </c>
    </row>
    <row r="47" spans="1:7" ht="14.4">
      <c r="A47" s="186">
        <v>46</v>
      </c>
      <c r="B47" s="186" t="s">
        <v>180</v>
      </c>
      <c r="C47" s="186" t="s">
        <v>181</v>
      </c>
      <c r="D47" s="186">
        <v>10.7</v>
      </c>
      <c r="E47" s="186">
        <v>3.09</v>
      </c>
      <c r="F47" s="186">
        <v>2.67</v>
      </c>
      <c r="G47" s="186">
        <v>1.6938355380000001</v>
      </c>
    </row>
    <row r="48" spans="1:7" ht="14.4">
      <c r="A48" s="186">
        <v>47</v>
      </c>
      <c r="B48" s="186" t="s">
        <v>178</v>
      </c>
      <c r="C48" s="186" t="s">
        <v>182</v>
      </c>
      <c r="D48" s="186">
        <v>12.6</v>
      </c>
      <c r="E48" s="186">
        <v>2.65</v>
      </c>
      <c r="F48" s="186">
        <v>2.74</v>
      </c>
      <c r="G48" s="186">
        <v>1.71708276</v>
      </c>
    </row>
    <row r="49" spans="1:7" ht="14.4">
      <c r="A49" s="186">
        <v>48</v>
      </c>
      <c r="B49" s="186" t="s">
        <v>153</v>
      </c>
      <c r="C49" s="186" t="s">
        <v>183</v>
      </c>
      <c r="D49" s="186">
        <v>15.9</v>
      </c>
      <c r="E49" s="186">
        <v>2.48</v>
      </c>
      <c r="F49" s="186">
        <v>2.74</v>
      </c>
      <c r="G49" s="186">
        <v>1.71708276</v>
      </c>
    </row>
    <row r="50" spans="1:7" ht="14.4">
      <c r="A50" s="186">
        <v>49</v>
      </c>
      <c r="B50" s="186" t="s">
        <v>184</v>
      </c>
      <c r="C50" s="186" t="s">
        <v>185</v>
      </c>
      <c r="D50" s="186">
        <v>300.8</v>
      </c>
      <c r="E50" s="186">
        <v>2.4900000000000002</v>
      </c>
      <c r="F50" s="186">
        <v>2.77</v>
      </c>
      <c r="G50" s="186">
        <v>1.727138362</v>
      </c>
    </row>
    <row r="51" spans="1:7" ht="14.4">
      <c r="A51" s="186">
        <v>50</v>
      </c>
      <c r="B51" s="186" t="s">
        <v>138</v>
      </c>
      <c r="C51" s="186" t="s">
        <v>186</v>
      </c>
      <c r="D51" s="186">
        <v>361.6</v>
      </c>
      <c r="E51" s="186">
        <v>2.64</v>
      </c>
      <c r="F51" s="186">
        <v>2.83</v>
      </c>
      <c r="G51" s="186">
        <v>1.747417642</v>
      </c>
    </row>
    <row r="52" spans="1:7" ht="14.4">
      <c r="A52" s="186">
        <v>51</v>
      </c>
      <c r="B52" s="186" t="s">
        <v>187</v>
      </c>
      <c r="C52" s="186" t="s">
        <v>188</v>
      </c>
      <c r="D52" s="186">
        <v>590.4</v>
      </c>
      <c r="E52" s="186">
        <v>2.7</v>
      </c>
      <c r="F52" s="186">
        <v>2.83</v>
      </c>
      <c r="G52" s="186">
        <v>1.747417642</v>
      </c>
    </row>
    <row r="53" spans="1:7" ht="14.4">
      <c r="A53" s="186">
        <v>52</v>
      </c>
      <c r="B53" s="186" t="s">
        <v>162</v>
      </c>
      <c r="C53" s="186" t="s">
        <v>189</v>
      </c>
      <c r="D53" s="186">
        <v>2.7</v>
      </c>
      <c r="E53" s="186">
        <v>2.6</v>
      </c>
      <c r="F53" s="186">
        <v>2.85</v>
      </c>
      <c r="G53" s="186">
        <v>1.754227523</v>
      </c>
    </row>
    <row r="54" spans="1:7" ht="14.4">
      <c r="A54" s="186">
        <v>53</v>
      </c>
      <c r="B54" s="186" t="s">
        <v>164</v>
      </c>
      <c r="C54" s="186" t="s">
        <v>190</v>
      </c>
      <c r="D54" s="186">
        <v>12.8</v>
      </c>
      <c r="E54" s="186">
        <v>2.3199999999999998</v>
      </c>
      <c r="F54" s="186">
        <v>2.85</v>
      </c>
      <c r="G54" s="186">
        <v>1.754227523</v>
      </c>
    </row>
    <row r="55" spans="1:7" ht="14.4">
      <c r="A55" s="186">
        <v>54</v>
      </c>
      <c r="B55" s="186" t="s">
        <v>146</v>
      </c>
      <c r="C55" s="186" t="s">
        <v>191</v>
      </c>
      <c r="D55" s="186">
        <v>72.8</v>
      </c>
      <c r="E55" s="186" t="s">
        <v>152</v>
      </c>
      <c r="F55" s="186">
        <v>2.86</v>
      </c>
      <c r="G55" s="186">
        <v>1.7576419109999999</v>
      </c>
    </row>
    <row r="56" spans="1:7" ht="14.4">
      <c r="A56" s="186">
        <v>55</v>
      </c>
      <c r="B56" s="186" t="s">
        <v>192</v>
      </c>
      <c r="C56" s="186" t="s">
        <v>193</v>
      </c>
      <c r="D56" s="187">
        <v>3693.5</v>
      </c>
      <c r="E56" s="186">
        <v>2.75</v>
      </c>
      <c r="F56" s="186">
        <v>2.86</v>
      </c>
      <c r="G56" s="186">
        <v>1.7576419109999999</v>
      </c>
    </row>
    <row r="57" spans="1:7" ht="14.4">
      <c r="A57" s="186">
        <v>56</v>
      </c>
      <c r="B57" s="186" t="s">
        <v>194</v>
      </c>
      <c r="C57" s="186" t="s">
        <v>195</v>
      </c>
      <c r="D57" s="186">
        <v>12.3</v>
      </c>
      <c r="E57" s="186">
        <v>2.93</v>
      </c>
      <c r="F57" s="186">
        <v>2.9</v>
      </c>
      <c r="G57" s="186">
        <v>1.771362699</v>
      </c>
    </row>
    <row r="58" spans="1:7" ht="14.4">
      <c r="A58" s="186">
        <v>57</v>
      </c>
      <c r="B58" s="186" t="s">
        <v>138</v>
      </c>
      <c r="C58" s="186" t="s">
        <v>196</v>
      </c>
      <c r="D58" s="186">
        <v>15</v>
      </c>
      <c r="E58" s="186">
        <v>2.74</v>
      </c>
      <c r="F58" s="186">
        <v>2.93</v>
      </c>
      <c r="G58" s="186">
        <v>1.7817200019999999</v>
      </c>
    </row>
    <row r="59" spans="1:7" ht="14.4">
      <c r="A59" s="186">
        <v>58</v>
      </c>
      <c r="B59" s="186" t="s">
        <v>197</v>
      </c>
      <c r="C59" s="186" t="s">
        <v>198</v>
      </c>
      <c r="D59" s="186">
        <v>51.3</v>
      </c>
      <c r="E59" s="186">
        <v>2.68</v>
      </c>
      <c r="F59" s="186">
        <v>2.93</v>
      </c>
      <c r="G59" s="186">
        <v>1.7817200019999999</v>
      </c>
    </row>
    <row r="60" spans="1:7" ht="14.4">
      <c r="A60" s="186">
        <v>59</v>
      </c>
      <c r="B60" s="186" t="s">
        <v>148</v>
      </c>
      <c r="C60" s="186" t="s">
        <v>199</v>
      </c>
      <c r="D60" s="186">
        <v>10.8</v>
      </c>
      <c r="E60" s="186">
        <v>2.65</v>
      </c>
      <c r="F60" s="186">
        <v>2.93</v>
      </c>
      <c r="G60" s="186">
        <v>1.7817200019999999</v>
      </c>
    </row>
    <row r="61" spans="1:7" ht="14.4">
      <c r="A61" s="186">
        <v>60</v>
      </c>
      <c r="B61" s="186" t="s">
        <v>200</v>
      </c>
      <c r="C61" s="186" t="s">
        <v>201</v>
      </c>
      <c r="D61" s="186">
        <v>1.4</v>
      </c>
      <c r="E61" s="186">
        <v>3.01</v>
      </c>
      <c r="F61" s="186">
        <v>2.93</v>
      </c>
      <c r="G61" s="186">
        <v>1.7817200019999999</v>
      </c>
    </row>
    <row r="62" spans="1:7" ht="14.4">
      <c r="A62" s="186">
        <v>61</v>
      </c>
      <c r="B62" s="186" t="s">
        <v>146</v>
      </c>
      <c r="C62" s="186" t="s">
        <v>202</v>
      </c>
      <c r="D62" s="186">
        <v>0.1</v>
      </c>
      <c r="E62" s="186" t="s">
        <v>152</v>
      </c>
      <c r="F62" s="186">
        <v>2.99</v>
      </c>
      <c r="G62" s="186">
        <v>1.802607455</v>
      </c>
    </row>
    <row r="63" spans="1:7" ht="14.4">
      <c r="A63" s="186">
        <v>62</v>
      </c>
      <c r="B63" s="186" t="s">
        <v>164</v>
      </c>
      <c r="C63" s="186" t="s">
        <v>203</v>
      </c>
      <c r="D63" s="186">
        <v>109.1</v>
      </c>
      <c r="E63" s="186">
        <v>3.08</v>
      </c>
      <c r="F63" s="186">
        <v>3</v>
      </c>
      <c r="G63" s="186">
        <v>1.8061112349999999</v>
      </c>
    </row>
    <row r="64" spans="1:7" ht="14.4">
      <c r="A64" s="186">
        <v>63</v>
      </c>
      <c r="B64" s="186" t="s">
        <v>175</v>
      </c>
      <c r="C64" s="186" t="s">
        <v>204</v>
      </c>
      <c r="D64" s="186">
        <v>23.9</v>
      </c>
      <c r="E64" s="186">
        <v>2.63</v>
      </c>
      <c r="F64" s="186">
        <v>3.01</v>
      </c>
      <c r="G64" s="186">
        <v>1.8096214829999999</v>
      </c>
    </row>
    <row r="65" spans="1:7" ht="14.4">
      <c r="A65" s="186">
        <v>64</v>
      </c>
      <c r="B65" s="186" t="s">
        <v>146</v>
      </c>
      <c r="C65" s="186" t="s">
        <v>205</v>
      </c>
      <c r="D65" s="186">
        <v>10.9</v>
      </c>
      <c r="E65" s="186" t="s">
        <v>152</v>
      </c>
      <c r="F65" s="186">
        <v>3.11</v>
      </c>
      <c r="G65" s="186">
        <v>1.8450822769999999</v>
      </c>
    </row>
    <row r="66" spans="1:7" ht="14.4">
      <c r="A66" s="186">
        <v>65</v>
      </c>
      <c r="B66" s="186" t="s">
        <v>148</v>
      </c>
      <c r="C66" s="186" t="s">
        <v>206</v>
      </c>
      <c r="D66" s="186">
        <v>6.3</v>
      </c>
      <c r="E66" s="186">
        <v>3.17</v>
      </c>
      <c r="F66" s="186">
        <v>3.14</v>
      </c>
      <c r="G66" s="186">
        <v>1.855848591</v>
      </c>
    </row>
    <row r="67" spans="1:7" ht="14.4">
      <c r="A67" s="186">
        <v>66</v>
      </c>
      <c r="B67" s="186" t="s">
        <v>175</v>
      </c>
      <c r="C67" s="186" t="s">
        <v>207</v>
      </c>
      <c r="D67" s="186">
        <v>73.900000000000006</v>
      </c>
      <c r="E67" s="186">
        <v>2.66</v>
      </c>
      <c r="F67" s="186">
        <v>3.15</v>
      </c>
      <c r="G67" s="186">
        <v>1.8594506049999999</v>
      </c>
    </row>
    <row r="68" spans="1:7" ht="14.4">
      <c r="A68" s="186">
        <v>67</v>
      </c>
      <c r="B68" s="186" t="s">
        <v>112</v>
      </c>
      <c r="C68" s="186" t="s">
        <v>208</v>
      </c>
      <c r="D68" s="187">
        <v>1168.2</v>
      </c>
      <c r="E68" s="186">
        <v>3.07</v>
      </c>
      <c r="F68" s="186">
        <v>3.16</v>
      </c>
      <c r="G68" s="186">
        <v>1.8630592610000001</v>
      </c>
    </row>
    <row r="69" spans="1:7" ht="14.4">
      <c r="A69" s="186">
        <v>68</v>
      </c>
      <c r="B69" s="186" t="s">
        <v>138</v>
      </c>
      <c r="C69" s="186" t="s">
        <v>209</v>
      </c>
      <c r="D69" s="186">
        <v>4.4000000000000004</v>
      </c>
      <c r="E69" s="186">
        <v>3.04</v>
      </c>
      <c r="F69" s="186">
        <v>3.16</v>
      </c>
      <c r="G69" s="186">
        <v>1.8630592610000001</v>
      </c>
    </row>
    <row r="70" spans="1:7" ht="14.4">
      <c r="A70" s="186">
        <v>69</v>
      </c>
      <c r="B70" s="186" t="s">
        <v>210</v>
      </c>
      <c r="C70" s="186" t="s">
        <v>211</v>
      </c>
      <c r="D70" s="186">
        <v>1.4</v>
      </c>
      <c r="E70" s="186">
        <v>3.12</v>
      </c>
      <c r="F70" s="186">
        <v>3.16</v>
      </c>
      <c r="G70" s="186">
        <v>1.8630592610000001</v>
      </c>
    </row>
    <row r="71" spans="1:7" ht="14.4">
      <c r="A71" s="186">
        <v>70</v>
      </c>
      <c r="B71" s="186" t="s">
        <v>200</v>
      </c>
      <c r="C71" s="186" t="s">
        <v>212</v>
      </c>
      <c r="D71" s="186">
        <v>76.2</v>
      </c>
      <c r="E71" s="186">
        <v>3.25</v>
      </c>
      <c r="F71" s="186">
        <v>3.17</v>
      </c>
      <c r="G71" s="186">
        <v>1.866674569</v>
      </c>
    </row>
    <row r="72" spans="1:7" ht="14.4">
      <c r="A72" s="186">
        <v>71</v>
      </c>
      <c r="B72" s="186" t="s">
        <v>213</v>
      </c>
      <c r="C72" s="186" t="s">
        <v>214</v>
      </c>
      <c r="D72" s="186">
        <v>6.1</v>
      </c>
      <c r="E72" s="186">
        <v>3.26</v>
      </c>
      <c r="F72" s="186">
        <v>3.18</v>
      </c>
      <c r="G72" s="186">
        <v>1.8702965410000001</v>
      </c>
    </row>
    <row r="73" spans="1:7" ht="14.4">
      <c r="A73" s="186">
        <v>72</v>
      </c>
      <c r="B73" s="186" t="s">
        <v>213</v>
      </c>
      <c r="C73" s="186" t="s">
        <v>215</v>
      </c>
      <c r="D73" s="186">
        <v>10.4</v>
      </c>
      <c r="E73" s="186">
        <v>3.27</v>
      </c>
      <c r="F73" s="186">
        <v>3.18</v>
      </c>
      <c r="G73" s="186">
        <v>1.8702965410000001</v>
      </c>
    </row>
    <row r="74" spans="1:7" ht="14.4">
      <c r="A74" s="186">
        <v>73</v>
      </c>
      <c r="B74" s="186" t="s">
        <v>178</v>
      </c>
      <c r="C74" s="186" t="s">
        <v>216</v>
      </c>
      <c r="D74" s="186">
        <v>1.1000000000000001</v>
      </c>
      <c r="E74" s="186">
        <v>3.11</v>
      </c>
      <c r="F74" s="186">
        <v>3.19</v>
      </c>
      <c r="G74" s="186">
        <v>1.8739251889999999</v>
      </c>
    </row>
    <row r="75" spans="1:7" ht="14.4">
      <c r="A75" s="186">
        <v>74</v>
      </c>
      <c r="B75" s="186" t="s">
        <v>153</v>
      </c>
      <c r="C75" s="186" t="s">
        <v>217</v>
      </c>
      <c r="D75" s="186">
        <v>235.2</v>
      </c>
      <c r="E75" s="186">
        <v>3.24</v>
      </c>
      <c r="F75" s="186">
        <v>3.19</v>
      </c>
      <c r="G75" s="186">
        <v>1.8739251889999999</v>
      </c>
    </row>
    <row r="76" spans="1:7" ht="14.4">
      <c r="A76" s="186">
        <v>75</v>
      </c>
      <c r="B76" s="186" t="s">
        <v>218</v>
      </c>
      <c r="C76" s="186" t="s">
        <v>219</v>
      </c>
      <c r="D76" s="187">
        <v>16783.5</v>
      </c>
      <c r="E76" s="186">
        <v>3.1</v>
      </c>
      <c r="F76" s="186">
        <v>3.19</v>
      </c>
      <c r="G76" s="186">
        <v>1.8739251889999999</v>
      </c>
    </row>
    <row r="77" spans="1:7" ht="14.4">
      <c r="A77" s="186">
        <v>76</v>
      </c>
      <c r="B77" s="186" t="s">
        <v>153</v>
      </c>
      <c r="C77" s="186" t="s">
        <v>220</v>
      </c>
      <c r="D77" s="186">
        <v>160.19999999999999</v>
      </c>
      <c r="E77" s="186">
        <v>3.25</v>
      </c>
      <c r="F77" s="186">
        <v>3.2</v>
      </c>
      <c r="G77" s="186">
        <v>1.877560525</v>
      </c>
    </row>
    <row r="78" spans="1:7" ht="14.4">
      <c r="A78" s="186">
        <v>77</v>
      </c>
      <c r="B78" s="186" t="s">
        <v>162</v>
      </c>
      <c r="C78" s="186" t="s">
        <v>221</v>
      </c>
      <c r="D78" s="186">
        <v>139.6</v>
      </c>
      <c r="E78" s="186">
        <v>3.15</v>
      </c>
      <c r="F78" s="186">
        <v>3.27</v>
      </c>
      <c r="G78" s="186">
        <v>1.903196106</v>
      </c>
    </row>
    <row r="79" spans="1:7" ht="14.4">
      <c r="A79" s="186">
        <v>78</v>
      </c>
      <c r="B79" s="186" t="s">
        <v>178</v>
      </c>
      <c r="C79" s="186" t="s">
        <v>222</v>
      </c>
      <c r="D79" s="186">
        <v>1</v>
      </c>
      <c r="E79" s="186">
        <v>2.99</v>
      </c>
      <c r="F79" s="186">
        <v>3.28</v>
      </c>
      <c r="G79" s="186">
        <v>1.906885363</v>
      </c>
    </row>
    <row r="80" spans="1:7" ht="14.4">
      <c r="A80" s="186">
        <v>79</v>
      </c>
      <c r="B80" s="186" t="s">
        <v>223</v>
      </c>
      <c r="C80" s="186" t="s">
        <v>224</v>
      </c>
      <c r="D80" s="186">
        <v>12.8</v>
      </c>
      <c r="E80" s="186">
        <v>3.32</v>
      </c>
      <c r="F80" s="186">
        <v>3.28</v>
      </c>
      <c r="G80" s="186">
        <v>1.906885363</v>
      </c>
    </row>
    <row r="81" spans="1:7" ht="14.4">
      <c r="A81" s="186">
        <v>80</v>
      </c>
      <c r="B81" s="186" t="s">
        <v>168</v>
      </c>
      <c r="C81" s="186" t="s">
        <v>225</v>
      </c>
      <c r="D81" s="186">
        <v>3.6</v>
      </c>
      <c r="E81" s="186">
        <v>2.95</v>
      </c>
      <c r="F81" s="186">
        <v>3.29</v>
      </c>
      <c r="G81" s="186">
        <v>1.9105814130000001</v>
      </c>
    </row>
    <row r="82" spans="1:7" ht="14.4">
      <c r="A82" s="186">
        <v>81</v>
      </c>
      <c r="B82" s="186" t="s">
        <v>226</v>
      </c>
      <c r="C82" s="186" t="s">
        <v>227</v>
      </c>
      <c r="D82" s="186">
        <v>0.9</v>
      </c>
      <c r="E82" s="186">
        <v>3.41</v>
      </c>
      <c r="F82" s="186">
        <v>3.31</v>
      </c>
      <c r="G82" s="186">
        <v>1.917993941</v>
      </c>
    </row>
    <row r="83" spans="1:7" ht="14.4">
      <c r="A83" s="186">
        <v>82</v>
      </c>
      <c r="B83" s="186" t="s">
        <v>131</v>
      </c>
      <c r="C83" s="186" t="s">
        <v>228</v>
      </c>
      <c r="D83" s="186">
        <v>16.5</v>
      </c>
      <c r="E83" s="186">
        <v>3.6</v>
      </c>
      <c r="F83" s="186">
        <v>3.31</v>
      </c>
      <c r="G83" s="186">
        <v>1.917993941</v>
      </c>
    </row>
    <row r="84" spans="1:7" ht="14.4">
      <c r="A84" s="186">
        <v>83</v>
      </c>
      <c r="B84" s="186" t="s">
        <v>128</v>
      </c>
      <c r="C84" s="186" t="s">
        <v>229</v>
      </c>
      <c r="D84" s="186">
        <v>10.3</v>
      </c>
      <c r="E84" s="186">
        <v>3.2</v>
      </c>
      <c r="F84" s="186">
        <v>3.33</v>
      </c>
      <c r="G84" s="186">
        <v>1.925433784</v>
      </c>
    </row>
    <row r="85" spans="1:7" ht="14.4">
      <c r="A85" s="186">
        <v>84</v>
      </c>
      <c r="B85" s="186" t="s">
        <v>164</v>
      </c>
      <c r="C85" s="186" t="s">
        <v>230</v>
      </c>
      <c r="D85" s="186">
        <v>55.6</v>
      </c>
      <c r="E85" s="186">
        <v>3.14</v>
      </c>
      <c r="F85" s="186">
        <v>3.39</v>
      </c>
      <c r="G85" s="186">
        <v>1.94791816</v>
      </c>
    </row>
    <row r="86" spans="1:7" ht="14.4">
      <c r="A86" s="186">
        <v>85</v>
      </c>
      <c r="B86" s="186" t="s">
        <v>210</v>
      </c>
      <c r="C86" s="186" t="s">
        <v>231</v>
      </c>
      <c r="D86" s="186">
        <v>22</v>
      </c>
      <c r="E86" s="186">
        <v>3.27</v>
      </c>
      <c r="F86" s="186">
        <v>3.39</v>
      </c>
      <c r="G86" s="186">
        <v>1.94791816</v>
      </c>
    </row>
    <row r="87" spans="1:7" ht="14.4">
      <c r="A87" s="186">
        <v>86</v>
      </c>
      <c r="B87" s="186" t="s">
        <v>162</v>
      </c>
      <c r="C87" s="186" t="s">
        <v>232</v>
      </c>
      <c r="D87" s="186">
        <v>21.4</v>
      </c>
      <c r="E87" s="186">
        <v>2.73</v>
      </c>
      <c r="F87" s="186">
        <v>3.4</v>
      </c>
      <c r="G87" s="186">
        <v>1.9516897230000001</v>
      </c>
    </row>
    <row r="88" spans="1:7" ht="14.4">
      <c r="A88" s="186">
        <v>87</v>
      </c>
      <c r="B88" s="186" t="s">
        <v>158</v>
      </c>
      <c r="C88" s="186" t="s">
        <v>233</v>
      </c>
      <c r="D88" s="186">
        <v>117.1</v>
      </c>
      <c r="E88" s="186">
        <v>3.03</v>
      </c>
      <c r="F88" s="186">
        <v>3.4</v>
      </c>
      <c r="G88" s="186">
        <v>1.9516897230000001</v>
      </c>
    </row>
    <row r="89" spans="1:7" ht="14.4">
      <c r="A89" s="186">
        <v>88</v>
      </c>
      <c r="B89" s="186" t="s">
        <v>234</v>
      </c>
      <c r="C89" s="186" t="s">
        <v>235</v>
      </c>
      <c r="D89" s="186">
        <v>5.0999999999999996</v>
      </c>
      <c r="E89" s="186">
        <v>3.92</v>
      </c>
      <c r="F89" s="186">
        <v>3.41</v>
      </c>
      <c r="G89" s="186">
        <v>1.9554682210000001</v>
      </c>
    </row>
    <row r="90" spans="1:7" ht="14.4">
      <c r="A90" s="186">
        <v>89</v>
      </c>
      <c r="B90" s="186" t="s">
        <v>175</v>
      </c>
      <c r="C90" s="186" t="s">
        <v>236</v>
      </c>
      <c r="D90" s="186">
        <v>16.100000000000001</v>
      </c>
      <c r="E90" s="186">
        <v>3.46</v>
      </c>
      <c r="F90" s="186">
        <v>3.41</v>
      </c>
      <c r="G90" s="186">
        <v>1.9554682210000001</v>
      </c>
    </row>
    <row r="91" spans="1:7" ht="14.4">
      <c r="A91" s="186">
        <v>90</v>
      </c>
      <c r="B91" s="186" t="s">
        <v>148</v>
      </c>
      <c r="C91" s="186" t="s">
        <v>237</v>
      </c>
      <c r="D91" s="186">
        <v>0.4</v>
      </c>
      <c r="E91" s="186">
        <v>3.16</v>
      </c>
      <c r="F91" s="186">
        <v>3.43</v>
      </c>
      <c r="G91" s="186">
        <v>1.9630460780000001</v>
      </c>
    </row>
    <row r="92" spans="1:7" ht="14.4">
      <c r="A92" s="186">
        <v>91</v>
      </c>
      <c r="B92" s="186" t="s">
        <v>118</v>
      </c>
      <c r="C92" s="186" t="s">
        <v>238</v>
      </c>
      <c r="D92" s="186">
        <v>14.3</v>
      </c>
      <c r="E92" s="186">
        <v>3.28</v>
      </c>
      <c r="F92" s="186">
        <v>3.43</v>
      </c>
      <c r="G92" s="186">
        <v>1.9630460780000001</v>
      </c>
    </row>
    <row r="93" spans="1:7" ht="14.4">
      <c r="A93" s="186">
        <v>92</v>
      </c>
      <c r="B93" s="186" t="s">
        <v>213</v>
      </c>
      <c r="C93" s="186" t="s">
        <v>239</v>
      </c>
      <c r="D93" s="186">
        <v>2</v>
      </c>
      <c r="E93" s="186">
        <v>3.33</v>
      </c>
      <c r="F93" s="186">
        <v>3.43</v>
      </c>
      <c r="G93" s="186">
        <v>1.9630460780000001</v>
      </c>
    </row>
    <row r="94" spans="1:7" ht="14.4">
      <c r="A94" s="186">
        <v>93</v>
      </c>
      <c r="B94" s="186" t="s">
        <v>178</v>
      </c>
      <c r="C94" s="186" t="s">
        <v>240</v>
      </c>
      <c r="D94" s="186">
        <v>1.3</v>
      </c>
      <c r="E94" s="186">
        <v>3.23</v>
      </c>
      <c r="F94" s="186">
        <v>3.45</v>
      </c>
      <c r="G94" s="186">
        <v>1.9706518260000001</v>
      </c>
    </row>
    <row r="95" spans="1:7" ht="14.4">
      <c r="A95" s="186">
        <v>94</v>
      </c>
      <c r="B95" s="186" t="s">
        <v>241</v>
      </c>
      <c r="C95" s="186" t="s">
        <v>242</v>
      </c>
      <c r="D95" s="186">
        <v>9.5</v>
      </c>
      <c r="E95" s="186">
        <v>4.04</v>
      </c>
      <c r="F95" s="186">
        <v>3.46</v>
      </c>
      <c r="G95" s="186">
        <v>1.9744651900000001</v>
      </c>
    </row>
    <row r="96" spans="1:7" ht="14.4">
      <c r="A96" s="186">
        <v>95</v>
      </c>
      <c r="B96" s="186" t="s">
        <v>243</v>
      </c>
      <c r="C96" s="186" t="s">
        <v>244</v>
      </c>
      <c r="D96" s="186">
        <v>2.8</v>
      </c>
      <c r="E96" s="186">
        <v>3.61</v>
      </c>
      <c r="F96" s="186">
        <v>3.49</v>
      </c>
      <c r="G96" s="186">
        <v>1.985947388</v>
      </c>
    </row>
    <row r="97" spans="1:7" ht="14.4">
      <c r="A97" s="186">
        <v>96</v>
      </c>
      <c r="B97" s="186" t="s">
        <v>245</v>
      </c>
      <c r="C97" s="186" t="s">
        <v>246</v>
      </c>
      <c r="D97" s="187">
        <v>1375.2</v>
      </c>
      <c r="E97" s="186">
        <v>3.92</v>
      </c>
      <c r="F97" s="186">
        <v>3.49</v>
      </c>
      <c r="G97" s="186">
        <v>1.985947388</v>
      </c>
    </row>
    <row r="98" spans="1:7" ht="14.4">
      <c r="A98" s="186">
        <v>97</v>
      </c>
      <c r="B98" s="186" t="s">
        <v>241</v>
      </c>
      <c r="C98" s="186" t="s">
        <v>247</v>
      </c>
      <c r="D98" s="186">
        <v>22.7</v>
      </c>
      <c r="E98" s="186">
        <v>4.09</v>
      </c>
      <c r="F98" s="186">
        <v>3.51</v>
      </c>
      <c r="G98" s="186">
        <v>1.9936373970000001</v>
      </c>
    </row>
    <row r="99" spans="1:7" ht="14.4">
      <c r="A99" s="186">
        <v>98</v>
      </c>
      <c r="B99" s="186" t="s">
        <v>178</v>
      </c>
      <c r="C99" s="186" t="s">
        <v>248</v>
      </c>
      <c r="D99" s="186">
        <v>220.5</v>
      </c>
      <c r="E99" s="186">
        <v>3.11</v>
      </c>
      <c r="F99" s="186">
        <v>3.51</v>
      </c>
      <c r="G99" s="186">
        <v>1.9936373970000001</v>
      </c>
    </row>
    <row r="100" spans="1:7" ht="14.4">
      <c r="A100" s="186">
        <v>99</v>
      </c>
      <c r="B100" s="186" t="s">
        <v>243</v>
      </c>
      <c r="C100" s="186" t="s">
        <v>249</v>
      </c>
      <c r="D100" s="186">
        <v>2.7</v>
      </c>
      <c r="E100" s="186">
        <v>3.75</v>
      </c>
      <c r="F100" s="186">
        <v>3.52</v>
      </c>
      <c r="G100" s="186">
        <v>1.9974930019999999</v>
      </c>
    </row>
    <row r="101" spans="1:7" ht="14.4">
      <c r="A101" s="186">
        <v>100</v>
      </c>
      <c r="B101" s="186" t="s">
        <v>168</v>
      </c>
      <c r="C101" s="186" t="s">
        <v>250</v>
      </c>
      <c r="D101" s="186">
        <v>3.3</v>
      </c>
      <c r="E101" s="186">
        <v>3.49</v>
      </c>
      <c r="F101" s="186">
        <v>3.52</v>
      </c>
      <c r="G101" s="186">
        <v>1.9974930019999999</v>
      </c>
    </row>
    <row r="102" spans="1:7" ht="14.4">
      <c r="A102" s="186">
        <v>101</v>
      </c>
      <c r="B102" s="186" t="s">
        <v>210</v>
      </c>
      <c r="C102" s="186" t="s">
        <v>251</v>
      </c>
      <c r="D102" s="186">
        <v>222.5</v>
      </c>
      <c r="E102" s="186">
        <v>3.2</v>
      </c>
      <c r="F102" s="186">
        <v>3.53</v>
      </c>
      <c r="G102" s="186">
        <v>2.00135569</v>
      </c>
    </row>
    <row r="103" spans="1:7" ht="14.4">
      <c r="A103" s="186">
        <v>102</v>
      </c>
      <c r="B103" s="186" t="s">
        <v>252</v>
      </c>
      <c r="C103" s="186" t="s">
        <v>253</v>
      </c>
      <c r="D103" s="186">
        <v>12.7</v>
      </c>
      <c r="E103" s="186">
        <v>3.46</v>
      </c>
      <c r="F103" s="186">
        <v>3.54</v>
      </c>
      <c r="G103" s="186">
        <v>2.0052254729999999</v>
      </c>
    </row>
    <row r="104" spans="1:7" ht="14.4">
      <c r="A104" s="186">
        <v>103</v>
      </c>
      <c r="B104" s="186" t="s">
        <v>213</v>
      </c>
      <c r="C104" s="186" t="s">
        <v>254</v>
      </c>
      <c r="D104" s="186">
        <v>8.3000000000000007</v>
      </c>
      <c r="E104" s="186">
        <v>3.62</v>
      </c>
      <c r="F104" s="186">
        <v>3.54</v>
      </c>
      <c r="G104" s="186">
        <v>2.0052254729999999</v>
      </c>
    </row>
    <row r="105" spans="1:7" ht="14.4">
      <c r="A105" s="186">
        <v>104</v>
      </c>
      <c r="B105" s="186" t="s">
        <v>158</v>
      </c>
      <c r="C105" s="186" t="s">
        <v>255</v>
      </c>
      <c r="D105" s="186">
        <v>4.0999999999999996</v>
      </c>
      <c r="E105" s="186">
        <v>3.36</v>
      </c>
      <c r="F105" s="186">
        <v>3.57</v>
      </c>
      <c r="G105" s="186">
        <v>2.0168775179999998</v>
      </c>
    </row>
    <row r="106" spans="1:7" ht="14.4">
      <c r="A106" s="186">
        <v>105</v>
      </c>
      <c r="B106" s="186" t="s">
        <v>234</v>
      </c>
      <c r="C106" s="186" t="s">
        <v>256</v>
      </c>
      <c r="D106" s="186">
        <v>24.2</v>
      </c>
      <c r="E106" s="186">
        <v>3.94</v>
      </c>
      <c r="F106" s="186">
        <v>3.58</v>
      </c>
      <c r="G106" s="186">
        <v>2.0207758060000001</v>
      </c>
    </row>
    <row r="107" spans="1:7" ht="14.4">
      <c r="A107" s="186">
        <v>106</v>
      </c>
      <c r="B107" s="186" t="s">
        <v>162</v>
      </c>
      <c r="C107" s="186" t="s">
        <v>257</v>
      </c>
      <c r="D107" s="186">
        <v>825</v>
      </c>
      <c r="E107" s="186">
        <v>3.76</v>
      </c>
      <c r="F107" s="186">
        <v>3.58</v>
      </c>
      <c r="G107" s="186">
        <v>2.0207758060000001</v>
      </c>
    </row>
    <row r="108" spans="1:7" ht="14.4">
      <c r="A108" s="186">
        <v>107</v>
      </c>
      <c r="B108" s="186" t="s">
        <v>175</v>
      </c>
      <c r="C108" s="186" t="s">
        <v>258</v>
      </c>
      <c r="D108" s="186">
        <v>90</v>
      </c>
      <c r="E108" s="186">
        <v>4.0199999999999996</v>
      </c>
      <c r="F108" s="186">
        <v>3.6</v>
      </c>
      <c r="G108" s="186">
        <v>2.0285938670000001</v>
      </c>
    </row>
    <row r="109" spans="1:7" ht="14.4">
      <c r="A109" s="186">
        <v>108</v>
      </c>
      <c r="B109" s="186" t="s">
        <v>122</v>
      </c>
      <c r="C109" s="186" t="s">
        <v>259</v>
      </c>
      <c r="D109" s="186">
        <v>174.9</v>
      </c>
      <c r="E109" s="186">
        <v>3.77</v>
      </c>
      <c r="F109" s="186">
        <v>3.6</v>
      </c>
      <c r="G109" s="186">
        <v>2.0285938670000001</v>
      </c>
    </row>
    <row r="110" spans="1:7" ht="14.4">
      <c r="A110" s="186">
        <v>109</v>
      </c>
      <c r="B110" s="186" t="s">
        <v>158</v>
      </c>
      <c r="C110" s="186" t="s">
        <v>260</v>
      </c>
      <c r="D110" s="186">
        <v>249.6</v>
      </c>
      <c r="E110" s="186">
        <v>3.58</v>
      </c>
      <c r="F110" s="186">
        <v>3.63</v>
      </c>
      <c r="G110" s="186">
        <v>2.0403748560000001</v>
      </c>
    </row>
    <row r="111" spans="1:7" ht="14.4">
      <c r="A111" s="186">
        <v>110</v>
      </c>
      <c r="B111" s="186" t="s">
        <v>162</v>
      </c>
      <c r="C111" s="186" t="s">
        <v>261</v>
      </c>
      <c r="D111" s="186">
        <v>71.7</v>
      </c>
      <c r="E111" s="186">
        <v>3.27</v>
      </c>
      <c r="F111" s="186">
        <v>3.64</v>
      </c>
      <c r="G111" s="186">
        <v>2.044316276</v>
      </c>
    </row>
    <row r="112" spans="1:7" ht="14.4">
      <c r="A112" s="186">
        <v>111</v>
      </c>
      <c r="B112" s="186" t="s">
        <v>175</v>
      </c>
      <c r="C112" s="186" t="s">
        <v>262</v>
      </c>
      <c r="D112" s="186">
        <v>28</v>
      </c>
      <c r="E112" s="186">
        <v>3.88</v>
      </c>
      <c r="F112" s="186">
        <v>3.64</v>
      </c>
      <c r="G112" s="186">
        <v>2.044316276</v>
      </c>
    </row>
    <row r="113" spans="1:7" ht="14.4">
      <c r="A113" s="186">
        <v>112</v>
      </c>
      <c r="B113" s="186" t="s">
        <v>263</v>
      </c>
      <c r="C113" s="186" t="s">
        <v>264</v>
      </c>
      <c r="D113" s="186">
        <v>155.80000000000001</v>
      </c>
      <c r="E113" s="186">
        <v>3.54</v>
      </c>
      <c r="F113" s="186">
        <v>3.64</v>
      </c>
      <c r="G113" s="186">
        <v>2.044316276</v>
      </c>
    </row>
    <row r="114" spans="1:7" ht="14.4">
      <c r="A114" s="186">
        <v>113</v>
      </c>
      <c r="B114" s="186" t="s">
        <v>148</v>
      </c>
      <c r="C114" s="186" t="s">
        <v>265</v>
      </c>
      <c r="D114" s="186">
        <v>24.4</v>
      </c>
      <c r="E114" s="186">
        <v>3.66</v>
      </c>
      <c r="F114" s="186">
        <v>3.64</v>
      </c>
      <c r="G114" s="186">
        <v>2.044316276</v>
      </c>
    </row>
    <row r="115" spans="1:7" ht="14.4">
      <c r="A115" s="186">
        <v>114</v>
      </c>
      <c r="B115" s="186" t="s">
        <v>162</v>
      </c>
      <c r="C115" s="186" t="s">
        <v>266</v>
      </c>
      <c r="D115" s="186">
        <v>1.8</v>
      </c>
      <c r="E115" s="186">
        <v>3.29</v>
      </c>
      <c r="F115" s="186">
        <v>3.66</v>
      </c>
      <c r="G115" s="186">
        <v>2.0522208239999999</v>
      </c>
    </row>
    <row r="116" spans="1:7" ht="14.4">
      <c r="A116" s="186">
        <v>115</v>
      </c>
      <c r="B116" s="186" t="s">
        <v>158</v>
      </c>
      <c r="C116" s="186" t="s">
        <v>267</v>
      </c>
      <c r="D116" s="186">
        <v>26.8</v>
      </c>
      <c r="E116" s="186">
        <v>3.6</v>
      </c>
      <c r="F116" s="186">
        <v>3.66</v>
      </c>
      <c r="G116" s="186">
        <v>2.0522208239999999</v>
      </c>
    </row>
    <row r="117" spans="1:7" ht="14.4">
      <c r="A117" s="186">
        <v>116</v>
      </c>
      <c r="B117" s="186" t="s">
        <v>138</v>
      </c>
      <c r="C117" s="186" t="s">
        <v>268</v>
      </c>
      <c r="D117" s="186">
        <v>0.5</v>
      </c>
      <c r="E117" s="186">
        <v>3.55</v>
      </c>
      <c r="F117" s="186">
        <v>3.67</v>
      </c>
      <c r="G117" s="186">
        <v>2.056183978</v>
      </c>
    </row>
    <row r="118" spans="1:7" ht="14.4">
      <c r="A118" s="186">
        <v>117</v>
      </c>
      <c r="B118" s="186" t="s">
        <v>162</v>
      </c>
      <c r="C118" s="186" t="s">
        <v>269</v>
      </c>
      <c r="D118" s="186">
        <v>8.5</v>
      </c>
      <c r="E118" s="186">
        <v>3.11</v>
      </c>
      <c r="F118" s="186">
        <v>3.67</v>
      </c>
      <c r="G118" s="186">
        <v>2.056183978</v>
      </c>
    </row>
    <row r="119" spans="1:7" ht="14.4">
      <c r="A119" s="186">
        <v>118</v>
      </c>
      <c r="B119" s="186" t="s">
        <v>122</v>
      </c>
      <c r="C119" s="186" t="s">
        <v>270</v>
      </c>
      <c r="D119" s="187">
        <v>1178.5999999999999</v>
      </c>
      <c r="E119" s="186">
        <v>3.48</v>
      </c>
      <c r="F119" s="186">
        <v>3.67</v>
      </c>
      <c r="G119" s="186">
        <v>2.056183978</v>
      </c>
    </row>
    <row r="120" spans="1:7" ht="14.4">
      <c r="A120" s="186">
        <v>119</v>
      </c>
      <c r="B120" s="186" t="s">
        <v>271</v>
      </c>
      <c r="C120" s="186" t="s">
        <v>272</v>
      </c>
      <c r="D120" s="186">
        <v>56.8</v>
      </c>
      <c r="E120" s="186">
        <v>3.52</v>
      </c>
      <c r="F120" s="186">
        <v>3.68</v>
      </c>
      <c r="G120" s="186">
        <v>2.0601544020000002</v>
      </c>
    </row>
    <row r="121" spans="1:7" ht="14.4">
      <c r="A121" s="186">
        <v>120</v>
      </c>
      <c r="B121" s="186" t="s">
        <v>178</v>
      </c>
      <c r="C121" s="186" t="s">
        <v>273</v>
      </c>
      <c r="D121" s="186">
        <v>0.1</v>
      </c>
      <c r="E121" s="186">
        <v>3.59</v>
      </c>
      <c r="F121" s="186">
        <v>3.68</v>
      </c>
      <c r="G121" s="186">
        <v>2.0601544020000002</v>
      </c>
    </row>
    <row r="122" spans="1:7" ht="14.4">
      <c r="A122" s="186">
        <v>121</v>
      </c>
      <c r="B122" s="186" t="s">
        <v>274</v>
      </c>
      <c r="C122" s="186" t="s">
        <v>275</v>
      </c>
      <c r="D122" s="187">
        <v>3442.5</v>
      </c>
      <c r="E122" s="186">
        <v>3.79</v>
      </c>
      <c r="F122" s="186">
        <v>3.69</v>
      </c>
      <c r="G122" s="186">
        <v>2.064132109</v>
      </c>
    </row>
    <row r="123" spans="1:7" ht="14.4">
      <c r="A123" s="186">
        <v>122</v>
      </c>
      <c r="B123" s="186" t="s">
        <v>175</v>
      </c>
      <c r="C123" s="186" t="s">
        <v>276</v>
      </c>
      <c r="D123" s="186">
        <v>66.7</v>
      </c>
      <c r="E123" s="186">
        <v>3.5</v>
      </c>
      <c r="F123" s="186">
        <v>3.69</v>
      </c>
      <c r="G123" s="186">
        <v>2.064132109</v>
      </c>
    </row>
    <row r="124" spans="1:7" ht="14.4">
      <c r="A124" s="186">
        <v>123</v>
      </c>
      <c r="B124" s="186" t="s">
        <v>213</v>
      </c>
      <c r="C124" s="186" t="s">
        <v>277</v>
      </c>
      <c r="D124" s="186">
        <v>3.8</v>
      </c>
      <c r="E124" s="186">
        <v>3.57</v>
      </c>
      <c r="F124" s="186">
        <v>3.7</v>
      </c>
      <c r="G124" s="186">
        <v>2.0681171109999998</v>
      </c>
    </row>
    <row r="125" spans="1:7" ht="14.4">
      <c r="A125" s="186">
        <v>124</v>
      </c>
      <c r="B125" s="186" t="s">
        <v>213</v>
      </c>
      <c r="C125" s="186" t="s">
        <v>278</v>
      </c>
      <c r="D125" s="186">
        <v>4.9000000000000004</v>
      </c>
      <c r="E125" s="186">
        <v>3.57</v>
      </c>
      <c r="F125" s="186">
        <v>3.7</v>
      </c>
      <c r="G125" s="186">
        <v>2.0681171109999998</v>
      </c>
    </row>
    <row r="126" spans="1:7" ht="14.4">
      <c r="A126" s="186">
        <v>125</v>
      </c>
      <c r="B126" s="186" t="s">
        <v>213</v>
      </c>
      <c r="C126" s="186" t="s">
        <v>279</v>
      </c>
      <c r="D126" s="186">
        <v>2.2000000000000002</v>
      </c>
      <c r="E126" s="186">
        <v>3.81</v>
      </c>
      <c r="F126" s="186">
        <v>3.7</v>
      </c>
      <c r="G126" s="186">
        <v>2.0681171109999998</v>
      </c>
    </row>
    <row r="127" spans="1:7" ht="14.4">
      <c r="A127" s="186">
        <v>126</v>
      </c>
      <c r="B127" s="186" t="s">
        <v>280</v>
      </c>
      <c r="C127" s="186" t="s">
        <v>281</v>
      </c>
      <c r="D127" s="186">
        <v>17.600000000000001</v>
      </c>
      <c r="E127" s="186">
        <v>3.52</v>
      </c>
      <c r="F127" s="186">
        <v>3.7</v>
      </c>
      <c r="G127" s="186">
        <v>2.0681171109999998</v>
      </c>
    </row>
    <row r="128" spans="1:7" ht="14.4">
      <c r="A128" s="186">
        <v>127</v>
      </c>
      <c r="B128" s="186" t="s">
        <v>178</v>
      </c>
      <c r="C128" s="186" t="s">
        <v>282</v>
      </c>
      <c r="D128" s="186">
        <v>0.3</v>
      </c>
      <c r="E128" s="186">
        <v>3.62</v>
      </c>
      <c r="F128" s="186">
        <v>3.71</v>
      </c>
      <c r="G128" s="186">
        <v>2.072109421</v>
      </c>
    </row>
    <row r="129" spans="1:7" ht="14.4">
      <c r="A129" s="186">
        <v>128</v>
      </c>
      <c r="B129" s="186" t="s">
        <v>178</v>
      </c>
      <c r="C129" s="186" t="s">
        <v>283</v>
      </c>
      <c r="D129" s="186">
        <v>97.1</v>
      </c>
      <c r="E129" s="186">
        <v>3.62</v>
      </c>
      <c r="F129" s="186">
        <v>3.71</v>
      </c>
      <c r="G129" s="186">
        <v>2.072109421</v>
      </c>
    </row>
    <row r="130" spans="1:7" ht="14.4">
      <c r="A130" s="186">
        <v>129</v>
      </c>
      <c r="B130" s="186" t="s">
        <v>213</v>
      </c>
      <c r="C130" s="186" t="s">
        <v>284</v>
      </c>
      <c r="D130" s="186">
        <v>6.2</v>
      </c>
      <c r="E130" s="186">
        <v>3.83</v>
      </c>
      <c r="F130" s="186">
        <v>3.71</v>
      </c>
      <c r="G130" s="186">
        <v>2.072109421</v>
      </c>
    </row>
    <row r="131" spans="1:7" ht="14.4">
      <c r="A131" s="186">
        <v>130</v>
      </c>
      <c r="B131" s="186" t="s">
        <v>187</v>
      </c>
      <c r="C131" s="186" t="s">
        <v>285</v>
      </c>
      <c r="D131" s="186">
        <v>7.5</v>
      </c>
      <c r="E131" s="186">
        <v>3.68</v>
      </c>
      <c r="F131" s="186">
        <v>3.71</v>
      </c>
      <c r="G131" s="186">
        <v>2.072109421</v>
      </c>
    </row>
    <row r="132" spans="1:7" ht="14.4">
      <c r="A132" s="186">
        <v>131</v>
      </c>
      <c r="B132" s="186" t="s">
        <v>286</v>
      </c>
      <c r="C132" s="186" t="s">
        <v>287</v>
      </c>
      <c r="D132" s="186">
        <v>448.9</v>
      </c>
      <c r="E132" s="186">
        <v>3.62</v>
      </c>
      <c r="F132" s="186">
        <v>3.72</v>
      </c>
      <c r="G132" s="186">
        <v>2.0761090520000001</v>
      </c>
    </row>
    <row r="133" spans="1:7" ht="14.4">
      <c r="A133" s="186">
        <v>132</v>
      </c>
      <c r="B133" s="186" t="s">
        <v>288</v>
      </c>
      <c r="C133" s="186" t="s">
        <v>289</v>
      </c>
      <c r="D133" s="186">
        <v>6.4</v>
      </c>
      <c r="E133" s="186">
        <v>3.66</v>
      </c>
      <c r="F133" s="186">
        <v>3.72</v>
      </c>
      <c r="G133" s="186">
        <v>2.0761090520000001</v>
      </c>
    </row>
    <row r="134" spans="1:7" ht="14.4">
      <c r="A134" s="186">
        <v>133</v>
      </c>
      <c r="B134" s="186" t="s">
        <v>288</v>
      </c>
      <c r="C134" s="186" t="s">
        <v>290</v>
      </c>
      <c r="D134" s="186">
        <v>7.5</v>
      </c>
      <c r="E134" s="186">
        <v>3.66</v>
      </c>
      <c r="F134" s="186">
        <v>3.72</v>
      </c>
      <c r="G134" s="186">
        <v>2.0761090520000001</v>
      </c>
    </row>
    <row r="135" spans="1:7" ht="14.4">
      <c r="A135" s="186">
        <v>134</v>
      </c>
      <c r="B135" s="186" t="s">
        <v>213</v>
      </c>
      <c r="C135" s="186" t="s">
        <v>291</v>
      </c>
      <c r="D135" s="186">
        <v>3.9</v>
      </c>
      <c r="E135" s="186">
        <v>3.66</v>
      </c>
      <c r="F135" s="186">
        <v>3.73</v>
      </c>
      <c r="G135" s="186">
        <v>2.0801160159999998</v>
      </c>
    </row>
    <row r="136" spans="1:7" ht="14.4">
      <c r="A136" s="186">
        <v>135</v>
      </c>
      <c r="B136" s="186" t="s">
        <v>213</v>
      </c>
      <c r="C136" s="186" t="s">
        <v>292</v>
      </c>
      <c r="D136" s="186">
        <v>8</v>
      </c>
      <c r="E136" s="186">
        <v>3.67</v>
      </c>
      <c r="F136" s="186">
        <v>3.73</v>
      </c>
      <c r="G136" s="186">
        <v>2.0801160159999998</v>
      </c>
    </row>
    <row r="137" spans="1:7" ht="14.4">
      <c r="A137" s="186">
        <v>136</v>
      </c>
      <c r="B137" s="186" t="s">
        <v>293</v>
      </c>
      <c r="C137" s="186" t="s">
        <v>294</v>
      </c>
      <c r="D137" s="186">
        <v>160.80000000000001</v>
      </c>
      <c r="E137" s="186">
        <v>3.94</v>
      </c>
      <c r="F137" s="186">
        <v>3.74</v>
      </c>
      <c r="G137" s="186">
        <v>2.084130327</v>
      </c>
    </row>
    <row r="138" spans="1:7" ht="14.4">
      <c r="A138" s="186">
        <v>137</v>
      </c>
      <c r="B138" s="186" t="s">
        <v>192</v>
      </c>
      <c r="C138" s="186" t="s">
        <v>295</v>
      </c>
      <c r="D138" s="187">
        <v>1801.3</v>
      </c>
      <c r="E138" s="186">
        <v>3.51</v>
      </c>
      <c r="F138" s="186">
        <v>3.74</v>
      </c>
      <c r="G138" s="186">
        <v>2.084130327</v>
      </c>
    </row>
    <row r="139" spans="1:7" ht="14.4">
      <c r="A139" s="186">
        <v>138</v>
      </c>
      <c r="B139" s="186" t="s">
        <v>178</v>
      </c>
      <c r="C139" s="186" t="s">
        <v>296</v>
      </c>
      <c r="D139" s="186">
        <v>0.2</v>
      </c>
      <c r="E139" s="186">
        <v>3.66</v>
      </c>
      <c r="F139" s="186">
        <v>3.75</v>
      </c>
      <c r="G139" s="186">
        <v>2.0881519960000001</v>
      </c>
    </row>
    <row r="140" spans="1:7" ht="14.4">
      <c r="A140" s="186">
        <v>139</v>
      </c>
      <c r="B140" s="186" t="s">
        <v>297</v>
      </c>
      <c r="C140" s="186" t="s">
        <v>298</v>
      </c>
      <c r="D140" s="186">
        <v>334.6</v>
      </c>
      <c r="E140" s="186">
        <v>3.72</v>
      </c>
      <c r="F140" s="186">
        <v>3.77</v>
      </c>
      <c r="G140" s="186">
        <v>2.0962174629999999</v>
      </c>
    </row>
    <row r="141" spans="1:7" ht="14.4">
      <c r="A141" s="186">
        <v>140</v>
      </c>
      <c r="B141" s="186" t="s">
        <v>178</v>
      </c>
      <c r="C141" s="186" t="s">
        <v>299</v>
      </c>
      <c r="D141" s="186">
        <v>9.3000000000000007</v>
      </c>
      <c r="E141" s="186">
        <v>3.69</v>
      </c>
      <c r="F141" s="186">
        <v>3.78</v>
      </c>
      <c r="G141" s="186">
        <v>2.1002612859999998</v>
      </c>
    </row>
    <row r="142" spans="1:7" ht="14.4">
      <c r="A142" s="186">
        <v>141</v>
      </c>
      <c r="B142" s="186" t="s">
        <v>120</v>
      </c>
      <c r="C142" s="186" t="s">
        <v>300</v>
      </c>
      <c r="D142" s="186">
        <v>17.600000000000001</v>
      </c>
      <c r="E142" s="186">
        <v>3.99</v>
      </c>
      <c r="F142" s="186">
        <v>3.78</v>
      </c>
      <c r="G142" s="186">
        <v>2.1002612859999998</v>
      </c>
    </row>
    <row r="143" spans="1:7" ht="14.4">
      <c r="A143" s="186">
        <v>142</v>
      </c>
      <c r="B143" s="186" t="s">
        <v>210</v>
      </c>
      <c r="C143" s="186" t="s">
        <v>301</v>
      </c>
      <c r="D143" s="186">
        <v>312.7</v>
      </c>
      <c r="E143" s="186">
        <v>3.39</v>
      </c>
      <c r="F143" s="186">
        <v>3.79</v>
      </c>
      <c r="G143" s="186">
        <v>2.1043125200000001</v>
      </c>
    </row>
    <row r="144" spans="1:7" ht="14.4">
      <c r="A144" s="186">
        <v>143</v>
      </c>
      <c r="B144" s="186" t="s">
        <v>210</v>
      </c>
      <c r="C144" s="186" t="s">
        <v>302</v>
      </c>
      <c r="D144" s="186">
        <v>57.6</v>
      </c>
      <c r="E144" s="186">
        <v>3.76</v>
      </c>
      <c r="F144" s="186">
        <v>3.81</v>
      </c>
      <c r="G144" s="186">
        <v>2.1124372679999999</v>
      </c>
    </row>
    <row r="145" spans="1:7" ht="14.4">
      <c r="A145" s="186">
        <v>144</v>
      </c>
      <c r="B145" s="186" t="s">
        <v>303</v>
      </c>
      <c r="C145" s="186" t="s">
        <v>304</v>
      </c>
      <c r="D145" s="186">
        <v>5.0999999999999996</v>
      </c>
      <c r="E145" s="186">
        <v>4.22</v>
      </c>
      <c r="F145" s="186">
        <v>3.82</v>
      </c>
      <c r="G145" s="186">
        <v>2.1165108099999999</v>
      </c>
    </row>
    <row r="146" spans="1:7" ht="14.4">
      <c r="A146" s="186">
        <v>145</v>
      </c>
      <c r="B146" s="186" t="s">
        <v>158</v>
      </c>
      <c r="C146" s="186" t="s">
        <v>305</v>
      </c>
      <c r="D146" s="186">
        <v>48.5</v>
      </c>
      <c r="E146" s="186">
        <v>3.62</v>
      </c>
      <c r="F146" s="186">
        <v>3.83</v>
      </c>
      <c r="G146" s="186">
        <v>2.1205918119999998</v>
      </c>
    </row>
    <row r="147" spans="1:7" ht="14.4">
      <c r="A147" s="186">
        <v>146</v>
      </c>
      <c r="B147" s="186" t="s">
        <v>280</v>
      </c>
      <c r="C147" s="186" t="s">
        <v>306</v>
      </c>
      <c r="D147" s="186">
        <v>3.5</v>
      </c>
      <c r="E147" s="186">
        <v>3.94</v>
      </c>
      <c r="F147" s="186">
        <v>3.83</v>
      </c>
      <c r="G147" s="186">
        <v>2.1205918119999998</v>
      </c>
    </row>
    <row r="148" spans="1:7" ht="14.4">
      <c r="A148" s="186">
        <v>147</v>
      </c>
      <c r="B148" s="186" t="s">
        <v>307</v>
      </c>
      <c r="C148" s="186" t="s">
        <v>308</v>
      </c>
      <c r="D148" s="186">
        <v>20.5</v>
      </c>
      <c r="E148" s="186">
        <v>3.79</v>
      </c>
      <c r="F148" s="186">
        <v>3.84</v>
      </c>
      <c r="G148" s="186">
        <v>2.1246802900000001</v>
      </c>
    </row>
    <row r="149" spans="1:7" ht="14.4">
      <c r="A149" s="186">
        <v>148</v>
      </c>
      <c r="B149" s="186" t="s">
        <v>309</v>
      </c>
      <c r="C149" s="186" t="s">
        <v>310</v>
      </c>
      <c r="D149" s="186">
        <v>2.2999999999999998</v>
      </c>
      <c r="E149" s="186" t="s">
        <v>152</v>
      </c>
      <c r="F149" s="186">
        <v>3.86</v>
      </c>
      <c r="G149" s="186">
        <v>2.1328797220000002</v>
      </c>
    </row>
    <row r="150" spans="1:7" ht="14.4">
      <c r="A150" s="186">
        <v>149</v>
      </c>
      <c r="B150" s="186" t="s">
        <v>311</v>
      </c>
      <c r="C150" s="186" t="s">
        <v>312</v>
      </c>
      <c r="D150" s="187">
        <v>1104.4000000000001</v>
      </c>
      <c r="E150" s="186">
        <v>3.83</v>
      </c>
      <c r="F150" s="186">
        <v>3.86</v>
      </c>
      <c r="G150" s="186">
        <v>2.1328797220000002</v>
      </c>
    </row>
    <row r="151" spans="1:7" ht="14.4">
      <c r="A151" s="186">
        <v>150</v>
      </c>
      <c r="B151" s="186" t="s">
        <v>178</v>
      </c>
      <c r="C151" s="186" t="s">
        <v>313</v>
      </c>
      <c r="D151" s="186">
        <v>12.6</v>
      </c>
      <c r="E151" s="186">
        <v>3.97</v>
      </c>
      <c r="F151" s="186">
        <v>3.88</v>
      </c>
      <c r="G151" s="186">
        <v>2.141109208</v>
      </c>
    </row>
    <row r="152" spans="1:7" ht="14.4">
      <c r="A152" s="186">
        <v>151</v>
      </c>
      <c r="B152" s="186" t="s">
        <v>131</v>
      </c>
      <c r="C152" s="186" t="s">
        <v>314</v>
      </c>
      <c r="D152" s="186">
        <v>91.7</v>
      </c>
      <c r="E152" s="186">
        <v>4.1500000000000004</v>
      </c>
      <c r="F152" s="186">
        <v>3.88</v>
      </c>
      <c r="G152" s="186">
        <v>2.141109208</v>
      </c>
    </row>
    <row r="153" spans="1:7" ht="14.4">
      <c r="A153" s="186">
        <v>152</v>
      </c>
      <c r="B153" s="186" t="s">
        <v>271</v>
      </c>
      <c r="C153" s="186" t="s">
        <v>315</v>
      </c>
      <c r="D153" s="186">
        <v>0.1</v>
      </c>
      <c r="E153" s="186">
        <v>4.13</v>
      </c>
      <c r="F153" s="186">
        <v>3.89</v>
      </c>
      <c r="G153" s="186">
        <v>2.1452352540000001</v>
      </c>
    </row>
    <row r="154" spans="1:7" ht="14.4">
      <c r="A154" s="186">
        <v>153</v>
      </c>
      <c r="B154" s="186" t="s">
        <v>271</v>
      </c>
      <c r="C154" s="186" t="s">
        <v>316</v>
      </c>
      <c r="D154" s="186">
        <v>25.2</v>
      </c>
      <c r="E154" s="186">
        <v>4.12</v>
      </c>
      <c r="F154" s="186">
        <v>3.89</v>
      </c>
      <c r="G154" s="186">
        <v>2.1452352540000001</v>
      </c>
    </row>
    <row r="155" spans="1:7" ht="14.4">
      <c r="A155" s="186">
        <v>154</v>
      </c>
      <c r="B155" s="186" t="s">
        <v>317</v>
      </c>
      <c r="C155" s="186" t="s">
        <v>318</v>
      </c>
      <c r="D155" s="186">
        <v>0.5</v>
      </c>
      <c r="E155" s="186">
        <v>4.0599999999999996</v>
      </c>
      <c r="F155" s="186">
        <v>3.89</v>
      </c>
      <c r="G155" s="186">
        <v>2.1452352540000001</v>
      </c>
    </row>
    <row r="156" spans="1:7" ht="14.4">
      <c r="A156" s="186">
        <v>155</v>
      </c>
      <c r="B156" s="186" t="s">
        <v>319</v>
      </c>
      <c r="C156" s="186" t="s">
        <v>320</v>
      </c>
      <c r="D156" s="186">
        <v>4.5999999999999996</v>
      </c>
      <c r="E156" s="186">
        <v>3.85</v>
      </c>
      <c r="F156" s="186">
        <v>3.9</v>
      </c>
      <c r="G156" s="186">
        <v>2.1493688529999999</v>
      </c>
    </row>
    <row r="157" spans="1:7" ht="14.4">
      <c r="A157" s="186">
        <v>156</v>
      </c>
      <c r="B157" s="186" t="s">
        <v>311</v>
      </c>
      <c r="C157" s="186" t="s">
        <v>321</v>
      </c>
      <c r="D157" s="186">
        <v>16.600000000000001</v>
      </c>
      <c r="E157" s="186">
        <v>3.51</v>
      </c>
      <c r="F157" s="186">
        <v>3.9</v>
      </c>
      <c r="G157" s="186">
        <v>2.1493688529999999</v>
      </c>
    </row>
    <row r="158" spans="1:7" ht="14.4">
      <c r="A158" s="186">
        <v>157</v>
      </c>
      <c r="B158" s="186" t="s">
        <v>138</v>
      </c>
      <c r="C158" s="186" t="s">
        <v>322</v>
      </c>
      <c r="D158" s="186">
        <v>9.9</v>
      </c>
      <c r="E158" s="186">
        <v>3.48</v>
      </c>
      <c r="F158" s="186">
        <v>3.91</v>
      </c>
      <c r="G158" s="186">
        <v>2.153510018</v>
      </c>
    </row>
    <row r="159" spans="1:7" ht="14.4">
      <c r="A159" s="186">
        <v>158</v>
      </c>
      <c r="B159" s="186" t="s">
        <v>178</v>
      </c>
      <c r="C159" s="186" t="s">
        <v>323</v>
      </c>
      <c r="D159" s="186">
        <v>0.1</v>
      </c>
      <c r="E159" s="186">
        <v>3.99</v>
      </c>
      <c r="F159" s="186">
        <v>3.91</v>
      </c>
      <c r="G159" s="186">
        <v>2.153510018</v>
      </c>
    </row>
    <row r="160" spans="1:7" ht="14.4">
      <c r="A160" s="186">
        <v>159</v>
      </c>
      <c r="B160" s="186" t="s">
        <v>162</v>
      </c>
      <c r="C160" s="186" t="s">
        <v>324</v>
      </c>
      <c r="D160" s="186">
        <v>60.1</v>
      </c>
      <c r="E160" s="186">
        <v>3.67</v>
      </c>
      <c r="F160" s="186">
        <v>3.92</v>
      </c>
      <c r="G160" s="186">
        <v>2.1576587620000001</v>
      </c>
    </row>
    <row r="161" spans="1:7" ht="14.4">
      <c r="A161" s="186">
        <v>160</v>
      </c>
      <c r="B161" s="186" t="s">
        <v>325</v>
      </c>
      <c r="C161" s="186" t="s">
        <v>326</v>
      </c>
      <c r="D161" s="186">
        <v>15.1</v>
      </c>
      <c r="E161" s="186">
        <v>3.66</v>
      </c>
      <c r="F161" s="186">
        <v>3.93</v>
      </c>
      <c r="G161" s="186">
        <v>2.161815099</v>
      </c>
    </row>
    <row r="162" spans="1:7" ht="14.4">
      <c r="A162" s="186">
        <v>161</v>
      </c>
      <c r="B162" s="186" t="s">
        <v>162</v>
      </c>
      <c r="C162" s="186" t="s">
        <v>327</v>
      </c>
      <c r="D162" s="186">
        <v>4.4000000000000004</v>
      </c>
      <c r="E162" s="186">
        <v>3.94</v>
      </c>
      <c r="F162" s="186">
        <v>3.95</v>
      </c>
      <c r="G162" s="186">
        <v>2.170150601</v>
      </c>
    </row>
    <row r="163" spans="1:7" ht="14.4">
      <c r="A163" s="186">
        <v>162</v>
      </c>
      <c r="B163" s="186" t="s">
        <v>164</v>
      </c>
      <c r="C163" s="186" t="s">
        <v>328</v>
      </c>
      <c r="D163" s="186">
        <v>0.1</v>
      </c>
      <c r="E163" s="186">
        <v>4.33</v>
      </c>
      <c r="F163" s="186">
        <v>3.95</v>
      </c>
      <c r="G163" s="186">
        <v>2.170150601</v>
      </c>
    </row>
    <row r="164" spans="1:7" ht="14.4">
      <c r="A164" s="186">
        <v>163</v>
      </c>
      <c r="B164" s="186" t="s">
        <v>162</v>
      </c>
      <c r="C164" s="186" t="s">
        <v>329</v>
      </c>
      <c r="D164" s="186">
        <v>6.1</v>
      </c>
      <c r="E164" s="186">
        <v>3.71</v>
      </c>
      <c r="F164" s="186">
        <v>3.96</v>
      </c>
      <c r="G164" s="186">
        <v>2.1743297930000001</v>
      </c>
    </row>
    <row r="165" spans="1:7" ht="14.4">
      <c r="A165" s="186">
        <v>164</v>
      </c>
      <c r="B165" s="186" t="s">
        <v>213</v>
      </c>
      <c r="C165" s="186" t="s">
        <v>330</v>
      </c>
      <c r="D165" s="186">
        <v>120.7</v>
      </c>
      <c r="E165" s="186">
        <v>3.73</v>
      </c>
      <c r="F165" s="186">
        <v>3.96</v>
      </c>
      <c r="G165" s="186">
        <v>2.1743297930000001</v>
      </c>
    </row>
    <row r="166" spans="1:7" ht="14.4">
      <c r="A166" s="186">
        <v>165</v>
      </c>
      <c r="B166" s="186" t="s">
        <v>213</v>
      </c>
      <c r="C166" s="186" t="s">
        <v>331</v>
      </c>
      <c r="D166" s="186">
        <v>1.2</v>
      </c>
      <c r="E166" s="186">
        <v>3.65</v>
      </c>
      <c r="F166" s="186">
        <v>3.96</v>
      </c>
      <c r="G166" s="186">
        <v>2.1743297930000001</v>
      </c>
    </row>
    <row r="167" spans="1:7" ht="14.4">
      <c r="A167" s="186">
        <v>166</v>
      </c>
      <c r="B167" s="186" t="s">
        <v>213</v>
      </c>
      <c r="C167" s="186" t="s">
        <v>332</v>
      </c>
      <c r="D167" s="186">
        <v>2.2999999999999998</v>
      </c>
      <c r="E167" s="186">
        <v>3.88</v>
      </c>
      <c r="F167" s="186">
        <v>3.96</v>
      </c>
      <c r="G167" s="186">
        <v>2.1743297930000001</v>
      </c>
    </row>
    <row r="168" spans="1:7" ht="14.4">
      <c r="A168" s="186">
        <v>167</v>
      </c>
      <c r="B168" s="186" t="s">
        <v>245</v>
      </c>
      <c r="C168" s="186" t="s">
        <v>333</v>
      </c>
      <c r="D168" s="186">
        <v>399.8</v>
      </c>
      <c r="E168" s="186">
        <v>3.77</v>
      </c>
      <c r="F168" s="186">
        <v>3.97</v>
      </c>
      <c r="G168" s="186">
        <v>2.1785166299999998</v>
      </c>
    </row>
    <row r="169" spans="1:7" ht="14.4">
      <c r="A169" s="186">
        <v>168</v>
      </c>
      <c r="B169" s="186" t="s">
        <v>210</v>
      </c>
      <c r="C169" s="186" t="s">
        <v>334</v>
      </c>
      <c r="D169" s="186">
        <v>138.30000000000001</v>
      </c>
      <c r="E169" s="186">
        <v>3.87</v>
      </c>
      <c r="F169" s="186">
        <v>3.99</v>
      </c>
      <c r="G169" s="186">
        <v>2.1869132919999998</v>
      </c>
    </row>
    <row r="170" spans="1:7" ht="14.4">
      <c r="A170" s="186">
        <v>169</v>
      </c>
      <c r="B170" s="186" t="s">
        <v>335</v>
      </c>
      <c r="C170" s="186" t="s">
        <v>336</v>
      </c>
      <c r="D170" s="186">
        <v>0.9</v>
      </c>
      <c r="E170" s="186">
        <v>4.12</v>
      </c>
      <c r="F170" s="186">
        <v>3.99</v>
      </c>
      <c r="G170" s="186">
        <v>2.1869132919999998</v>
      </c>
    </row>
    <row r="171" spans="1:7" ht="14.4">
      <c r="A171" s="186">
        <v>170</v>
      </c>
      <c r="B171" s="186" t="s">
        <v>213</v>
      </c>
      <c r="C171" s="186" t="s">
        <v>337</v>
      </c>
      <c r="D171" s="186">
        <v>5.0999999999999996</v>
      </c>
      <c r="E171" s="186">
        <v>3.74</v>
      </c>
      <c r="F171" s="186">
        <v>3.99</v>
      </c>
      <c r="G171" s="186">
        <v>2.1869132919999998</v>
      </c>
    </row>
    <row r="172" spans="1:7" ht="14.4">
      <c r="A172" s="186">
        <v>171</v>
      </c>
      <c r="B172" s="186" t="s">
        <v>162</v>
      </c>
      <c r="C172" s="186" t="s">
        <v>338</v>
      </c>
      <c r="D172" s="186">
        <v>59.8</v>
      </c>
      <c r="E172" s="186">
        <v>3.93</v>
      </c>
      <c r="F172" s="186">
        <v>4.01</v>
      </c>
      <c r="G172" s="186">
        <v>2.1953406929999999</v>
      </c>
    </row>
    <row r="173" spans="1:7" ht="14.4">
      <c r="A173" s="186">
        <v>172</v>
      </c>
      <c r="B173" s="186" t="s">
        <v>335</v>
      </c>
      <c r="C173" s="186" t="s">
        <v>339</v>
      </c>
      <c r="D173" s="186">
        <v>35.6</v>
      </c>
      <c r="E173" s="186">
        <v>4.1500000000000004</v>
      </c>
      <c r="F173" s="186">
        <v>4.01</v>
      </c>
      <c r="G173" s="186">
        <v>2.1953406929999999</v>
      </c>
    </row>
    <row r="174" spans="1:7" ht="14.4">
      <c r="A174" s="186">
        <v>173</v>
      </c>
      <c r="B174" s="186" t="s">
        <v>340</v>
      </c>
      <c r="C174" s="186" t="s">
        <v>341</v>
      </c>
      <c r="D174" s="186">
        <v>27.9</v>
      </c>
      <c r="E174" s="186">
        <v>4</v>
      </c>
      <c r="F174" s="186">
        <v>4.01</v>
      </c>
      <c r="G174" s="186">
        <v>2.1953406929999999</v>
      </c>
    </row>
    <row r="175" spans="1:7" ht="14.4">
      <c r="A175" s="186">
        <v>174</v>
      </c>
      <c r="B175" s="186" t="s">
        <v>138</v>
      </c>
      <c r="C175" s="186" t="s">
        <v>342</v>
      </c>
      <c r="D175" s="186">
        <v>6.1</v>
      </c>
      <c r="E175" s="186">
        <v>4.08</v>
      </c>
      <c r="F175" s="186">
        <v>4.0199999999999996</v>
      </c>
      <c r="G175" s="186">
        <v>2.1995659540000001</v>
      </c>
    </row>
    <row r="176" spans="1:7" ht="14.4">
      <c r="A176" s="186">
        <v>175</v>
      </c>
      <c r="B176" s="186" t="s">
        <v>175</v>
      </c>
      <c r="C176" s="186" t="s">
        <v>343</v>
      </c>
      <c r="D176" s="186">
        <v>258.8</v>
      </c>
      <c r="E176" s="186">
        <v>3.88</v>
      </c>
      <c r="F176" s="186">
        <v>4.0199999999999996</v>
      </c>
      <c r="G176" s="186">
        <v>2.1995659540000001</v>
      </c>
    </row>
    <row r="177" spans="1:7" ht="14.4">
      <c r="A177" s="186">
        <v>176</v>
      </c>
      <c r="B177" s="186" t="s">
        <v>288</v>
      </c>
      <c r="C177" s="186" t="s">
        <v>344</v>
      </c>
      <c r="D177" s="186">
        <v>4</v>
      </c>
      <c r="E177" s="186">
        <v>4.46</v>
      </c>
      <c r="F177" s="186">
        <v>4.0199999999999996</v>
      </c>
      <c r="G177" s="186">
        <v>2.1995659540000001</v>
      </c>
    </row>
    <row r="178" spans="1:7" ht="14.4">
      <c r="A178" s="186">
        <v>177</v>
      </c>
      <c r="B178" s="186" t="s">
        <v>288</v>
      </c>
      <c r="C178" s="186" t="s">
        <v>345</v>
      </c>
      <c r="D178" s="186">
        <v>4.0999999999999996</v>
      </c>
      <c r="E178" s="186">
        <v>4.46</v>
      </c>
      <c r="F178" s="186">
        <v>4.0199999999999996</v>
      </c>
      <c r="G178" s="186">
        <v>2.1995659540000001</v>
      </c>
    </row>
    <row r="179" spans="1:7" ht="14.4">
      <c r="A179" s="186">
        <v>178</v>
      </c>
      <c r="B179" s="186" t="s">
        <v>184</v>
      </c>
      <c r="C179" s="186" t="s">
        <v>346</v>
      </c>
      <c r="D179" s="187">
        <v>4034.3</v>
      </c>
      <c r="E179" s="186">
        <v>4.2</v>
      </c>
      <c r="F179" s="186">
        <v>4.0199999999999996</v>
      </c>
      <c r="G179" s="186">
        <v>2.1995659540000001</v>
      </c>
    </row>
    <row r="180" spans="1:7" ht="14.4">
      <c r="A180" s="186">
        <v>179</v>
      </c>
      <c r="B180" s="186" t="s">
        <v>162</v>
      </c>
      <c r="C180" s="186" t="s">
        <v>347</v>
      </c>
      <c r="D180" s="186">
        <v>24.7</v>
      </c>
      <c r="E180" s="186">
        <v>4.22</v>
      </c>
      <c r="F180" s="186">
        <v>4.03</v>
      </c>
      <c r="G180" s="186">
        <v>2.20379894</v>
      </c>
    </row>
    <row r="181" spans="1:7" ht="14.4">
      <c r="A181" s="186">
        <v>180</v>
      </c>
      <c r="B181" s="186" t="s">
        <v>348</v>
      </c>
      <c r="C181" s="186" t="s">
        <v>349</v>
      </c>
      <c r="D181" s="186">
        <v>340.1</v>
      </c>
      <c r="E181" s="186">
        <v>4.07</v>
      </c>
      <c r="F181" s="186">
        <v>4.03</v>
      </c>
      <c r="G181" s="186">
        <v>2.20379894</v>
      </c>
    </row>
    <row r="182" spans="1:7" ht="14.4">
      <c r="A182" s="186">
        <v>181</v>
      </c>
      <c r="B182" s="186" t="s">
        <v>178</v>
      </c>
      <c r="C182" s="186" t="s">
        <v>350</v>
      </c>
      <c r="D182" s="186">
        <v>3</v>
      </c>
      <c r="E182" s="186">
        <v>3.45</v>
      </c>
      <c r="F182" s="186">
        <v>4.04</v>
      </c>
      <c r="G182" s="186">
        <v>2.2080396640000002</v>
      </c>
    </row>
    <row r="183" spans="1:7" ht="14.4">
      <c r="A183" s="186">
        <v>182</v>
      </c>
      <c r="B183" s="186" t="s">
        <v>164</v>
      </c>
      <c r="C183" s="186" t="s">
        <v>351</v>
      </c>
      <c r="D183" s="186">
        <v>335.8</v>
      </c>
      <c r="E183" s="186">
        <v>4.13</v>
      </c>
      <c r="F183" s="186">
        <v>4.04</v>
      </c>
      <c r="G183" s="186">
        <v>2.2080396640000002</v>
      </c>
    </row>
    <row r="184" spans="1:7" ht="14.4">
      <c r="A184" s="186">
        <v>183</v>
      </c>
      <c r="B184" s="186" t="s">
        <v>352</v>
      </c>
      <c r="C184" s="186" t="s">
        <v>353</v>
      </c>
      <c r="D184" s="186">
        <v>217.2</v>
      </c>
      <c r="E184" s="186">
        <v>3.94</v>
      </c>
      <c r="F184" s="186">
        <v>4.04</v>
      </c>
      <c r="G184" s="186">
        <v>2.2080396640000002</v>
      </c>
    </row>
    <row r="185" spans="1:7" ht="14.4">
      <c r="A185" s="186">
        <v>184</v>
      </c>
      <c r="B185" s="186" t="s">
        <v>138</v>
      </c>
      <c r="C185" s="186" t="s">
        <v>354</v>
      </c>
      <c r="D185" s="186">
        <v>17</v>
      </c>
      <c r="E185" s="186">
        <v>3.92</v>
      </c>
      <c r="F185" s="186">
        <v>4.05</v>
      </c>
      <c r="G185" s="186">
        <v>2.212288139</v>
      </c>
    </row>
    <row r="186" spans="1:7" ht="14.4">
      <c r="A186" s="186">
        <v>185</v>
      </c>
      <c r="B186" s="186" t="s">
        <v>178</v>
      </c>
      <c r="C186" s="186" t="s">
        <v>355</v>
      </c>
      <c r="D186" s="186">
        <v>0.1</v>
      </c>
      <c r="E186" s="186">
        <v>3.64</v>
      </c>
      <c r="F186" s="186">
        <v>4.05</v>
      </c>
      <c r="G186" s="186">
        <v>2.212288139</v>
      </c>
    </row>
    <row r="187" spans="1:7" ht="14.4">
      <c r="A187" s="186">
        <v>186</v>
      </c>
      <c r="B187" s="186" t="s">
        <v>118</v>
      </c>
      <c r="C187" s="186" t="s">
        <v>356</v>
      </c>
      <c r="D187" s="186">
        <v>21.5</v>
      </c>
      <c r="E187" s="186">
        <v>3.9</v>
      </c>
      <c r="F187" s="186">
        <v>4.05</v>
      </c>
      <c r="G187" s="186">
        <v>2.212288139</v>
      </c>
    </row>
    <row r="188" spans="1:7" ht="14.4">
      <c r="A188" s="186">
        <v>187</v>
      </c>
      <c r="B188" s="186" t="s">
        <v>271</v>
      </c>
      <c r="C188" s="186" t="s">
        <v>357</v>
      </c>
      <c r="D188" s="186">
        <v>323</v>
      </c>
      <c r="E188" s="186">
        <v>4.0599999999999996</v>
      </c>
      <c r="F188" s="186">
        <v>4.0599999999999996</v>
      </c>
      <c r="G188" s="186">
        <v>2.2165443800000002</v>
      </c>
    </row>
    <row r="189" spans="1:7" ht="14.4">
      <c r="A189" s="186">
        <v>188</v>
      </c>
      <c r="B189" s="186" t="s">
        <v>175</v>
      </c>
      <c r="C189" s="186" t="s">
        <v>358</v>
      </c>
      <c r="D189" s="186">
        <v>35.9</v>
      </c>
      <c r="E189" s="186">
        <v>4.12</v>
      </c>
      <c r="F189" s="186">
        <v>4.0599999999999996</v>
      </c>
      <c r="G189" s="186">
        <v>2.2165443800000002</v>
      </c>
    </row>
    <row r="190" spans="1:7" ht="14.4">
      <c r="A190" s="186">
        <v>189</v>
      </c>
      <c r="B190" s="186" t="s">
        <v>146</v>
      </c>
      <c r="C190" s="186" t="s">
        <v>359</v>
      </c>
      <c r="D190" s="186">
        <v>1.4</v>
      </c>
      <c r="E190" s="186">
        <v>4.24</v>
      </c>
      <c r="F190" s="186">
        <v>4.0599999999999996</v>
      </c>
      <c r="G190" s="186">
        <v>2.2165443800000002</v>
      </c>
    </row>
    <row r="191" spans="1:7" ht="14.4">
      <c r="A191" s="186">
        <v>190</v>
      </c>
      <c r="B191" s="186" t="s">
        <v>213</v>
      </c>
      <c r="C191" s="186" t="s">
        <v>360</v>
      </c>
      <c r="D191" s="186">
        <v>0.5</v>
      </c>
      <c r="E191" s="186">
        <v>3.93</v>
      </c>
      <c r="F191" s="186">
        <v>4.0599999999999996</v>
      </c>
      <c r="G191" s="186">
        <v>2.2165443800000002</v>
      </c>
    </row>
    <row r="192" spans="1:7" ht="14.4">
      <c r="A192" s="186">
        <v>191</v>
      </c>
      <c r="B192" s="186" t="s">
        <v>213</v>
      </c>
      <c r="C192" s="186" t="s">
        <v>361</v>
      </c>
      <c r="D192" s="186">
        <v>2</v>
      </c>
      <c r="E192" s="186">
        <v>4.17</v>
      </c>
      <c r="F192" s="186">
        <v>4.0599999999999996</v>
      </c>
      <c r="G192" s="186">
        <v>2.2165443800000002</v>
      </c>
    </row>
    <row r="193" spans="1:7" ht="14.4">
      <c r="A193" s="186">
        <v>192</v>
      </c>
      <c r="B193" s="186" t="s">
        <v>362</v>
      </c>
      <c r="C193" s="186" t="s">
        <v>363</v>
      </c>
      <c r="D193" s="186">
        <v>2.7</v>
      </c>
      <c r="E193" s="186">
        <v>4.2</v>
      </c>
      <c r="F193" s="186">
        <v>4.07</v>
      </c>
      <c r="G193" s="186">
        <v>2.220808399</v>
      </c>
    </row>
    <row r="194" spans="1:7" ht="14.4">
      <c r="A194" s="186">
        <v>193</v>
      </c>
      <c r="B194" s="186" t="s">
        <v>187</v>
      </c>
      <c r="C194" s="186" t="s">
        <v>364</v>
      </c>
      <c r="D194" s="186">
        <v>149.69999999999999</v>
      </c>
      <c r="E194" s="186">
        <v>4.03</v>
      </c>
      <c r="F194" s="186">
        <v>4.07</v>
      </c>
      <c r="G194" s="186">
        <v>2.220808399</v>
      </c>
    </row>
    <row r="195" spans="1:7" ht="14.4">
      <c r="A195" s="186">
        <v>194</v>
      </c>
      <c r="B195" s="186" t="s">
        <v>365</v>
      </c>
      <c r="C195" s="186" t="s">
        <v>366</v>
      </c>
      <c r="D195" s="186">
        <v>62.3</v>
      </c>
      <c r="E195" s="186">
        <v>4.0599999999999996</v>
      </c>
      <c r="F195" s="186">
        <v>4.08</v>
      </c>
      <c r="G195" s="186">
        <v>2.2250802099999998</v>
      </c>
    </row>
    <row r="196" spans="1:7" ht="14.4">
      <c r="A196" s="186">
        <v>195</v>
      </c>
      <c r="B196" s="186" t="s">
        <v>158</v>
      </c>
      <c r="C196" s="186" t="s">
        <v>367</v>
      </c>
      <c r="D196" s="186">
        <v>5.3</v>
      </c>
      <c r="E196" s="186">
        <v>4.12</v>
      </c>
      <c r="F196" s="186">
        <v>4.08</v>
      </c>
      <c r="G196" s="186">
        <v>2.2250802099999998</v>
      </c>
    </row>
    <row r="197" spans="1:7" ht="14.4">
      <c r="A197" s="186">
        <v>196</v>
      </c>
      <c r="B197" s="186" t="s">
        <v>210</v>
      </c>
      <c r="C197" s="186" t="s">
        <v>368</v>
      </c>
      <c r="D197" s="187">
        <v>2853.3</v>
      </c>
      <c r="E197" s="186">
        <v>4.04</v>
      </c>
      <c r="F197" s="186">
        <v>4.08</v>
      </c>
      <c r="G197" s="186">
        <v>2.2250802099999998</v>
      </c>
    </row>
    <row r="198" spans="1:7" ht="14.4">
      <c r="A198" s="186">
        <v>197</v>
      </c>
      <c r="B198" s="186" t="s">
        <v>213</v>
      </c>
      <c r="C198" s="186" t="s">
        <v>369</v>
      </c>
      <c r="D198" s="186">
        <v>0.8</v>
      </c>
      <c r="E198" s="186">
        <v>4.0199999999999996</v>
      </c>
      <c r="F198" s="186">
        <v>4.09</v>
      </c>
      <c r="G198" s="186">
        <v>2.229359826</v>
      </c>
    </row>
    <row r="199" spans="1:7" ht="14.4">
      <c r="A199" s="186">
        <v>198</v>
      </c>
      <c r="B199" s="186" t="s">
        <v>162</v>
      </c>
      <c r="C199" s="186" t="s">
        <v>370</v>
      </c>
      <c r="D199" s="186">
        <v>39.6</v>
      </c>
      <c r="E199" s="186">
        <v>4.3</v>
      </c>
      <c r="F199" s="186">
        <v>4.0999999999999996</v>
      </c>
      <c r="G199" s="186">
        <v>2.2336472610000002</v>
      </c>
    </row>
    <row r="200" spans="1:7" ht="14.4">
      <c r="A200" s="186">
        <v>199</v>
      </c>
      <c r="B200" s="186" t="s">
        <v>175</v>
      </c>
      <c r="C200" s="186" t="s">
        <v>371</v>
      </c>
      <c r="D200" s="186">
        <v>44.6</v>
      </c>
      <c r="E200" s="186">
        <v>4.34</v>
      </c>
      <c r="F200" s="186">
        <v>4.0999999999999996</v>
      </c>
      <c r="G200" s="186">
        <v>2.2336472610000002</v>
      </c>
    </row>
    <row r="201" spans="1:7" ht="14.4">
      <c r="A201" s="186">
        <v>200</v>
      </c>
      <c r="B201" s="186" t="s">
        <v>365</v>
      </c>
      <c r="C201" s="186" t="s">
        <v>372</v>
      </c>
      <c r="D201" s="186">
        <v>0.2</v>
      </c>
      <c r="E201" s="186">
        <v>4.09</v>
      </c>
      <c r="F201" s="186">
        <v>4.0999999999999996</v>
      </c>
      <c r="G201" s="186">
        <v>2.2336472610000002</v>
      </c>
    </row>
    <row r="202" spans="1:7" ht="14.4">
      <c r="A202" s="186">
        <v>201</v>
      </c>
      <c r="B202" s="186" t="s">
        <v>373</v>
      </c>
      <c r="C202" s="186" t="s">
        <v>374</v>
      </c>
      <c r="D202" s="186">
        <v>87.5</v>
      </c>
      <c r="E202" s="186">
        <v>4.24</v>
      </c>
      <c r="F202" s="186">
        <v>4.0999999999999996</v>
      </c>
      <c r="G202" s="186">
        <v>2.2336472610000002</v>
      </c>
    </row>
    <row r="203" spans="1:7" ht="14.4">
      <c r="A203" s="186">
        <v>202</v>
      </c>
      <c r="B203" s="186" t="s">
        <v>197</v>
      </c>
      <c r="C203" s="186" t="s">
        <v>375</v>
      </c>
      <c r="D203" s="186">
        <v>39.4</v>
      </c>
      <c r="E203" s="186" t="s">
        <v>152</v>
      </c>
      <c r="F203" s="186">
        <v>4.1100000000000003</v>
      </c>
      <c r="G203" s="186">
        <v>2.2379425290000001</v>
      </c>
    </row>
    <row r="204" spans="1:7" ht="14.4">
      <c r="A204" s="186">
        <v>203</v>
      </c>
      <c r="B204" s="186" t="s">
        <v>213</v>
      </c>
      <c r="C204" s="186" t="s">
        <v>376</v>
      </c>
      <c r="D204" s="186">
        <v>18.2</v>
      </c>
      <c r="E204" s="186">
        <v>4.2</v>
      </c>
      <c r="F204" s="186">
        <v>4.1100000000000003</v>
      </c>
      <c r="G204" s="186">
        <v>2.2379425290000001</v>
      </c>
    </row>
    <row r="205" spans="1:7" ht="14.4">
      <c r="A205" s="186">
        <v>204</v>
      </c>
      <c r="B205" s="186" t="s">
        <v>319</v>
      </c>
      <c r="C205" s="186" t="s">
        <v>377</v>
      </c>
      <c r="D205" s="187">
        <v>2062.5</v>
      </c>
      <c r="E205" s="186">
        <v>4.0599999999999996</v>
      </c>
      <c r="F205" s="186">
        <v>4.1100000000000003</v>
      </c>
      <c r="G205" s="186">
        <v>2.2379425290000001</v>
      </c>
    </row>
    <row r="206" spans="1:7" ht="14.4">
      <c r="A206" s="186">
        <v>205</v>
      </c>
      <c r="B206" s="186" t="s">
        <v>286</v>
      </c>
      <c r="C206" s="186" t="s">
        <v>378</v>
      </c>
      <c r="D206" s="186">
        <v>8.5</v>
      </c>
      <c r="E206" s="186">
        <v>4.3600000000000003</v>
      </c>
      <c r="F206" s="186">
        <v>4.12</v>
      </c>
      <c r="G206" s="186">
        <v>2.242245643</v>
      </c>
    </row>
    <row r="207" spans="1:7" ht="14.4">
      <c r="A207" s="186">
        <v>206</v>
      </c>
      <c r="B207" s="186" t="s">
        <v>158</v>
      </c>
      <c r="C207" s="186" t="s">
        <v>379</v>
      </c>
      <c r="D207" s="186">
        <v>81.400000000000006</v>
      </c>
      <c r="E207" s="186">
        <v>4.16</v>
      </c>
      <c r="F207" s="186">
        <v>4.12</v>
      </c>
      <c r="G207" s="186">
        <v>2.242245643</v>
      </c>
    </row>
    <row r="208" spans="1:7" ht="14.4">
      <c r="A208" s="186">
        <v>207</v>
      </c>
      <c r="B208" s="186" t="s">
        <v>234</v>
      </c>
      <c r="C208" s="186" t="s">
        <v>380</v>
      </c>
      <c r="D208" s="186">
        <v>96.3</v>
      </c>
      <c r="E208" s="186">
        <v>4.3600000000000003</v>
      </c>
      <c r="F208" s="186">
        <v>4.13</v>
      </c>
      <c r="G208" s="186">
        <v>2.2465566159999999</v>
      </c>
    </row>
    <row r="209" spans="1:7" ht="14.4">
      <c r="A209" s="186">
        <v>208</v>
      </c>
      <c r="B209" s="186" t="s">
        <v>153</v>
      </c>
      <c r="C209" s="186" t="s">
        <v>381</v>
      </c>
      <c r="D209" s="187">
        <v>2332.1999999999998</v>
      </c>
      <c r="E209" s="186">
        <v>4.6100000000000003</v>
      </c>
      <c r="F209" s="186">
        <v>4.13</v>
      </c>
      <c r="G209" s="186">
        <v>2.2465566159999999</v>
      </c>
    </row>
    <row r="210" spans="1:7" ht="14.4">
      <c r="A210" s="186">
        <v>209</v>
      </c>
      <c r="B210" s="186" t="s">
        <v>311</v>
      </c>
      <c r="C210" s="186" t="s">
        <v>382</v>
      </c>
      <c r="D210" s="186">
        <v>21.4</v>
      </c>
      <c r="E210" s="186">
        <v>4.05</v>
      </c>
      <c r="F210" s="186">
        <v>4.1399999999999997</v>
      </c>
      <c r="G210" s="186">
        <v>2.2508754620000002</v>
      </c>
    </row>
    <row r="211" spans="1:7" ht="14.4">
      <c r="A211" s="186">
        <v>210</v>
      </c>
      <c r="B211" s="186" t="s">
        <v>226</v>
      </c>
      <c r="C211" s="186" t="s">
        <v>383</v>
      </c>
      <c r="D211" s="186">
        <v>0.2</v>
      </c>
      <c r="E211" s="186">
        <v>4.16</v>
      </c>
      <c r="F211" s="186">
        <v>4.1500000000000004</v>
      </c>
      <c r="G211" s="186">
        <v>2.2552021959999999</v>
      </c>
    </row>
    <row r="212" spans="1:7" ht="14.4">
      <c r="A212" s="186">
        <v>211</v>
      </c>
      <c r="B212" s="186" t="s">
        <v>288</v>
      </c>
      <c r="C212" s="186" t="s">
        <v>384</v>
      </c>
      <c r="D212" s="186">
        <v>1.3</v>
      </c>
      <c r="E212" s="186">
        <v>4.09</v>
      </c>
      <c r="F212" s="186">
        <v>4.1500000000000004</v>
      </c>
      <c r="G212" s="186">
        <v>2.2552021959999999</v>
      </c>
    </row>
    <row r="213" spans="1:7" ht="14.4">
      <c r="A213" s="186">
        <v>212</v>
      </c>
      <c r="B213" s="186" t="s">
        <v>319</v>
      </c>
      <c r="C213" s="186" t="s">
        <v>385</v>
      </c>
      <c r="D213" s="186">
        <v>426.1</v>
      </c>
      <c r="E213" s="186">
        <v>4.09</v>
      </c>
      <c r="F213" s="186">
        <v>4.1500000000000004</v>
      </c>
      <c r="G213" s="186">
        <v>2.2552021959999999</v>
      </c>
    </row>
    <row r="214" spans="1:7" ht="14.4">
      <c r="A214" s="186">
        <v>213</v>
      </c>
      <c r="B214" s="186" t="s">
        <v>138</v>
      </c>
      <c r="C214" s="186" t="s">
        <v>386</v>
      </c>
      <c r="D214" s="186">
        <v>6</v>
      </c>
      <c r="E214" s="186">
        <v>4.04</v>
      </c>
      <c r="F214" s="186">
        <v>4.16</v>
      </c>
      <c r="G214" s="186">
        <v>2.259536829</v>
      </c>
    </row>
    <row r="215" spans="1:7" ht="14.4">
      <c r="A215" s="186">
        <v>214</v>
      </c>
      <c r="B215" s="186" t="s">
        <v>387</v>
      </c>
      <c r="C215" s="186" t="s">
        <v>388</v>
      </c>
      <c r="D215" s="187">
        <v>1233.5999999999999</v>
      </c>
      <c r="E215" s="186">
        <v>4.0999999999999996</v>
      </c>
      <c r="F215" s="186">
        <v>4.16</v>
      </c>
      <c r="G215" s="186">
        <v>2.259536829</v>
      </c>
    </row>
    <row r="216" spans="1:7" ht="14.4">
      <c r="A216" s="186">
        <v>215</v>
      </c>
      <c r="B216" s="186" t="s">
        <v>263</v>
      </c>
      <c r="C216" s="186" t="s">
        <v>389</v>
      </c>
      <c r="D216" s="186">
        <v>20.2</v>
      </c>
      <c r="E216" s="186">
        <v>4.0599999999999996</v>
      </c>
      <c r="F216" s="186">
        <v>4.16</v>
      </c>
      <c r="G216" s="186">
        <v>2.259536829</v>
      </c>
    </row>
    <row r="217" spans="1:7" ht="14.4">
      <c r="A217" s="186">
        <v>216</v>
      </c>
      <c r="B217" s="186" t="s">
        <v>365</v>
      </c>
      <c r="C217" s="186" t="s">
        <v>390</v>
      </c>
      <c r="D217" s="186">
        <v>5</v>
      </c>
      <c r="E217" s="186">
        <v>3.79</v>
      </c>
      <c r="F217" s="186">
        <v>4.16</v>
      </c>
      <c r="G217" s="186">
        <v>2.259536829</v>
      </c>
    </row>
    <row r="218" spans="1:7" ht="14.4">
      <c r="A218" s="186">
        <v>217</v>
      </c>
      <c r="B218" s="186" t="s">
        <v>263</v>
      </c>
      <c r="C218" s="186" t="s">
        <v>391</v>
      </c>
      <c r="D218" s="186">
        <v>141.6</v>
      </c>
      <c r="E218" s="186">
        <v>4.1399999999999997</v>
      </c>
      <c r="F218" s="186">
        <v>4.17</v>
      </c>
      <c r="G218" s="186">
        <v>2.2638793769999999</v>
      </c>
    </row>
    <row r="219" spans="1:7" ht="14.4">
      <c r="A219" s="186">
        <v>218</v>
      </c>
      <c r="B219" s="186" t="s">
        <v>392</v>
      </c>
      <c r="C219" s="186" t="s">
        <v>393</v>
      </c>
      <c r="D219" s="187">
        <v>3806.7</v>
      </c>
      <c r="E219" s="186">
        <v>4.1900000000000004</v>
      </c>
      <c r="F219" s="186">
        <v>4.17</v>
      </c>
      <c r="G219" s="186">
        <v>2.2638793769999999</v>
      </c>
    </row>
    <row r="220" spans="1:7" ht="14.4">
      <c r="A220" s="186">
        <v>219</v>
      </c>
      <c r="B220" s="186" t="s">
        <v>317</v>
      </c>
      <c r="C220" s="186" t="s">
        <v>394</v>
      </c>
      <c r="D220" s="186">
        <v>1.3</v>
      </c>
      <c r="E220" s="186">
        <v>4.34</v>
      </c>
      <c r="F220" s="186">
        <v>4.17</v>
      </c>
      <c r="G220" s="186">
        <v>2.2638793769999999</v>
      </c>
    </row>
    <row r="221" spans="1:7" ht="14.4">
      <c r="A221" s="186">
        <v>220</v>
      </c>
      <c r="B221" s="186" t="s">
        <v>395</v>
      </c>
      <c r="C221" s="186" t="s">
        <v>396</v>
      </c>
      <c r="D221" s="187">
        <v>1126.3</v>
      </c>
      <c r="E221" s="186">
        <v>4.1399999999999997</v>
      </c>
      <c r="F221" s="186">
        <v>4.18</v>
      </c>
      <c r="G221" s="186">
        <v>2.2682298520000002</v>
      </c>
    </row>
    <row r="222" spans="1:7" ht="14.4">
      <c r="A222" s="186">
        <v>221</v>
      </c>
      <c r="B222" s="186" t="s">
        <v>133</v>
      </c>
      <c r="C222" s="186" t="s">
        <v>397</v>
      </c>
      <c r="D222" s="186">
        <v>18.899999999999999</v>
      </c>
      <c r="E222" s="186">
        <v>4.3899999999999997</v>
      </c>
      <c r="F222" s="186">
        <v>4.18</v>
      </c>
      <c r="G222" s="186">
        <v>2.2682298520000002</v>
      </c>
    </row>
    <row r="223" spans="1:7" ht="14.4">
      <c r="A223" s="186">
        <v>222</v>
      </c>
      <c r="B223" s="186" t="s">
        <v>293</v>
      </c>
      <c r="C223" s="186" t="s">
        <v>398</v>
      </c>
      <c r="D223" s="186">
        <v>5.5</v>
      </c>
      <c r="E223" s="186">
        <v>4.1500000000000004</v>
      </c>
      <c r="F223" s="186">
        <v>4.18</v>
      </c>
      <c r="G223" s="186">
        <v>2.2682298520000002</v>
      </c>
    </row>
    <row r="224" spans="1:7" ht="14.4">
      <c r="A224" s="186">
        <v>223</v>
      </c>
      <c r="B224" s="186" t="s">
        <v>168</v>
      </c>
      <c r="C224" s="186" t="s">
        <v>399</v>
      </c>
      <c r="D224" s="186">
        <v>8.1999999999999993</v>
      </c>
      <c r="E224" s="186">
        <v>4.3099999999999996</v>
      </c>
      <c r="F224" s="186">
        <v>4.18</v>
      </c>
      <c r="G224" s="186">
        <v>2.2682298520000002</v>
      </c>
    </row>
    <row r="225" spans="1:7" ht="14.4">
      <c r="A225" s="186">
        <v>224</v>
      </c>
      <c r="B225" s="186" t="s">
        <v>400</v>
      </c>
      <c r="C225" s="186" t="s">
        <v>401</v>
      </c>
      <c r="D225" s="186">
        <v>28.4</v>
      </c>
      <c r="E225" s="186">
        <v>4.54</v>
      </c>
      <c r="F225" s="186">
        <v>4.1900000000000004</v>
      </c>
      <c r="G225" s="186">
        <v>2.2725882689999999</v>
      </c>
    </row>
    <row r="226" spans="1:7" ht="14.4">
      <c r="A226" s="186">
        <v>225</v>
      </c>
      <c r="B226" s="186" t="s">
        <v>122</v>
      </c>
      <c r="C226" s="186" t="s">
        <v>402</v>
      </c>
      <c r="D226" s="186">
        <v>507.8</v>
      </c>
      <c r="E226" s="186">
        <v>4.8</v>
      </c>
      <c r="F226" s="186">
        <v>4.1900000000000004</v>
      </c>
      <c r="G226" s="186">
        <v>2.2725882689999999</v>
      </c>
    </row>
    <row r="227" spans="1:7" ht="14.4">
      <c r="A227" s="186">
        <v>226</v>
      </c>
      <c r="B227" s="186" t="s">
        <v>252</v>
      </c>
      <c r="C227" s="186" t="s">
        <v>403</v>
      </c>
      <c r="D227" s="186">
        <v>73.7</v>
      </c>
      <c r="E227" s="186">
        <v>3.82</v>
      </c>
      <c r="F227" s="186">
        <v>4.2</v>
      </c>
      <c r="G227" s="186">
        <v>2.2769546420000002</v>
      </c>
    </row>
    <row r="228" spans="1:7" ht="14.4">
      <c r="A228" s="186">
        <v>227</v>
      </c>
      <c r="B228" s="186" t="s">
        <v>175</v>
      </c>
      <c r="C228" s="186" t="s">
        <v>404</v>
      </c>
      <c r="D228" s="186">
        <v>65.3</v>
      </c>
      <c r="E228" s="186">
        <v>3.94</v>
      </c>
      <c r="F228" s="186">
        <v>4.2</v>
      </c>
      <c r="G228" s="186">
        <v>2.2769546420000002</v>
      </c>
    </row>
    <row r="229" spans="1:7" ht="14.4">
      <c r="A229" s="186">
        <v>228</v>
      </c>
      <c r="B229" s="186" t="s">
        <v>153</v>
      </c>
      <c r="C229" s="186" t="s">
        <v>405</v>
      </c>
      <c r="D229" s="187">
        <v>3437.4</v>
      </c>
      <c r="E229" s="186">
        <v>3.85</v>
      </c>
      <c r="F229" s="186">
        <v>4.2</v>
      </c>
      <c r="G229" s="186">
        <v>2.2769546420000002</v>
      </c>
    </row>
    <row r="230" spans="1:7" ht="14.4">
      <c r="A230" s="186">
        <v>229</v>
      </c>
      <c r="B230" s="186" t="s">
        <v>226</v>
      </c>
      <c r="C230" s="186" t="s">
        <v>406</v>
      </c>
      <c r="D230" s="186">
        <v>6.4</v>
      </c>
      <c r="E230" s="186">
        <v>4.3</v>
      </c>
      <c r="F230" s="186">
        <v>4.21</v>
      </c>
      <c r="G230" s="186">
        <v>2.2813289829999999</v>
      </c>
    </row>
    <row r="231" spans="1:7" ht="14.4">
      <c r="A231" s="186">
        <v>230</v>
      </c>
      <c r="B231" s="186" t="s">
        <v>213</v>
      </c>
      <c r="C231" s="186" t="s">
        <v>407</v>
      </c>
      <c r="D231" s="186">
        <v>3.9</v>
      </c>
      <c r="E231" s="186">
        <v>4.29</v>
      </c>
      <c r="F231" s="186">
        <v>4.22</v>
      </c>
      <c r="G231" s="186">
        <v>2.2857113070000001</v>
      </c>
    </row>
    <row r="232" spans="1:7" ht="14.4">
      <c r="A232" s="186">
        <v>231</v>
      </c>
      <c r="B232" s="186" t="s">
        <v>213</v>
      </c>
      <c r="C232" s="186" t="s">
        <v>408</v>
      </c>
      <c r="D232" s="186">
        <v>17.5</v>
      </c>
      <c r="E232" s="186">
        <v>4.29</v>
      </c>
      <c r="F232" s="186">
        <v>4.22</v>
      </c>
      <c r="G232" s="186">
        <v>2.2857113070000001</v>
      </c>
    </row>
    <row r="233" spans="1:7" ht="14.4">
      <c r="A233" s="186">
        <v>232</v>
      </c>
      <c r="B233" s="186" t="s">
        <v>319</v>
      </c>
      <c r="C233" s="186" t="s">
        <v>409</v>
      </c>
      <c r="D233" s="186">
        <v>40.9</v>
      </c>
      <c r="E233" s="186">
        <v>4.16</v>
      </c>
      <c r="F233" s="186">
        <v>4.22</v>
      </c>
      <c r="G233" s="186">
        <v>2.2857113070000001</v>
      </c>
    </row>
    <row r="234" spans="1:7" ht="14.4">
      <c r="A234" s="186">
        <v>233</v>
      </c>
      <c r="B234" s="186" t="s">
        <v>153</v>
      </c>
      <c r="C234" s="186" t="s">
        <v>410</v>
      </c>
      <c r="D234" s="186">
        <v>365.6</v>
      </c>
      <c r="E234" s="186">
        <v>4.71</v>
      </c>
      <c r="F234" s="186">
        <v>4.2300000000000004</v>
      </c>
      <c r="G234" s="186">
        <v>2.2901016269999999</v>
      </c>
    </row>
    <row r="235" spans="1:7" ht="14.4">
      <c r="A235" s="186">
        <v>234</v>
      </c>
      <c r="B235" s="186" t="s">
        <v>210</v>
      </c>
      <c r="C235" s="186" t="s">
        <v>411</v>
      </c>
      <c r="D235" s="186">
        <v>320.89999999999998</v>
      </c>
      <c r="E235" s="186">
        <v>4.1100000000000003</v>
      </c>
      <c r="F235" s="186">
        <v>4.2300000000000004</v>
      </c>
      <c r="G235" s="186">
        <v>2.2901016269999999</v>
      </c>
    </row>
    <row r="236" spans="1:7" ht="14.4">
      <c r="A236" s="186">
        <v>235</v>
      </c>
      <c r="B236" s="186" t="s">
        <v>325</v>
      </c>
      <c r="C236" s="186" t="s">
        <v>412</v>
      </c>
      <c r="D236" s="186">
        <v>64</v>
      </c>
      <c r="E236" s="186">
        <v>4.2699999999999996</v>
      </c>
      <c r="F236" s="186">
        <v>4.2300000000000004</v>
      </c>
      <c r="G236" s="186">
        <v>2.2901016269999999</v>
      </c>
    </row>
    <row r="237" spans="1:7" ht="14.4">
      <c r="A237" s="186">
        <v>236</v>
      </c>
      <c r="B237" s="186" t="s">
        <v>187</v>
      </c>
      <c r="C237" s="186" t="s">
        <v>413</v>
      </c>
      <c r="D237" s="187">
        <v>13356.5</v>
      </c>
      <c r="E237" s="186">
        <v>4.22</v>
      </c>
      <c r="F237" s="186">
        <v>4.25</v>
      </c>
      <c r="G237" s="186">
        <v>2.2989063129999998</v>
      </c>
    </row>
    <row r="238" spans="1:7" ht="14.4">
      <c r="A238" s="186">
        <v>237</v>
      </c>
      <c r="B238" s="186" t="s">
        <v>226</v>
      </c>
      <c r="C238" s="186" t="s">
        <v>414</v>
      </c>
      <c r="D238" s="186">
        <v>0.6</v>
      </c>
      <c r="E238" s="186">
        <v>4.04</v>
      </c>
      <c r="F238" s="186">
        <v>4.26</v>
      </c>
      <c r="G238" s="186">
        <v>2.3033207060000001</v>
      </c>
    </row>
    <row r="239" spans="1:7" ht="14.4">
      <c r="A239" s="186">
        <v>238</v>
      </c>
      <c r="B239" s="186" t="s">
        <v>415</v>
      </c>
      <c r="C239" s="186" t="s">
        <v>416</v>
      </c>
      <c r="D239" s="186">
        <v>5.9</v>
      </c>
      <c r="E239" s="186">
        <v>4.26</v>
      </c>
      <c r="F239" s="186">
        <v>4.26</v>
      </c>
      <c r="G239" s="186">
        <v>2.3033207060000001</v>
      </c>
    </row>
    <row r="240" spans="1:7" ht="14.4">
      <c r="A240" s="186">
        <v>239</v>
      </c>
      <c r="B240" s="186" t="s">
        <v>415</v>
      </c>
      <c r="C240" s="186" t="s">
        <v>417</v>
      </c>
      <c r="D240" s="186">
        <v>23.1</v>
      </c>
      <c r="E240" s="186">
        <v>4.2699999999999996</v>
      </c>
      <c r="F240" s="186">
        <v>4.26</v>
      </c>
      <c r="G240" s="186">
        <v>2.3033207060000001</v>
      </c>
    </row>
    <row r="241" spans="1:7" ht="14.4">
      <c r="A241" s="186">
        <v>240</v>
      </c>
      <c r="B241" s="186" t="s">
        <v>187</v>
      </c>
      <c r="C241" s="186" t="s">
        <v>418</v>
      </c>
      <c r="D241" s="186">
        <v>54.2</v>
      </c>
      <c r="E241" s="186">
        <v>4.2300000000000004</v>
      </c>
      <c r="F241" s="186">
        <v>4.26</v>
      </c>
      <c r="G241" s="186">
        <v>2.3033207060000001</v>
      </c>
    </row>
    <row r="242" spans="1:7" ht="14.4">
      <c r="A242" s="186">
        <v>241</v>
      </c>
      <c r="B242" s="186" t="s">
        <v>241</v>
      </c>
      <c r="C242" s="186" t="s">
        <v>419</v>
      </c>
      <c r="D242" s="186">
        <v>600.6</v>
      </c>
      <c r="E242" s="186">
        <v>4.63</v>
      </c>
      <c r="F242" s="186">
        <v>4.2699999999999996</v>
      </c>
      <c r="G242" s="186">
        <v>2.3077431509999999</v>
      </c>
    </row>
    <row r="243" spans="1:7" ht="14.4">
      <c r="A243" s="186">
        <v>242</v>
      </c>
      <c r="B243" s="186" t="s">
        <v>420</v>
      </c>
      <c r="C243" s="186" t="s">
        <v>421</v>
      </c>
      <c r="D243" s="186">
        <v>61.9</v>
      </c>
      <c r="E243" s="186">
        <v>4.25</v>
      </c>
      <c r="F243" s="186">
        <v>4.2699999999999996</v>
      </c>
      <c r="G243" s="186">
        <v>2.3077431509999999</v>
      </c>
    </row>
    <row r="244" spans="1:7" ht="14.4">
      <c r="A244" s="186">
        <v>243</v>
      </c>
      <c r="B244" s="186" t="s">
        <v>422</v>
      </c>
      <c r="C244" s="186" t="s">
        <v>423</v>
      </c>
      <c r="D244" s="186">
        <v>41.2</v>
      </c>
      <c r="E244" s="186">
        <v>4.47</v>
      </c>
      <c r="F244" s="186">
        <v>4.28</v>
      </c>
      <c r="G244" s="186">
        <v>2.3121736629999998</v>
      </c>
    </row>
    <row r="245" spans="1:7" ht="14.4">
      <c r="A245" s="186">
        <v>244</v>
      </c>
      <c r="B245" s="186" t="s">
        <v>118</v>
      </c>
      <c r="C245" s="186" t="s">
        <v>424</v>
      </c>
      <c r="D245" s="186">
        <v>82.2</v>
      </c>
      <c r="E245" s="186">
        <v>3.82</v>
      </c>
      <c r="F245" s="186">
        <v>4.28</v>
      </c>
      <c r="G245" s="186">
        <v>2.3121736629999998</v>
      </c>
    </row>
    <row r="246" spans="1:7" ht="14.4">
      <c r="A246" s="186">
        <v>245</v>
      </c>
      <c r="B246" s="186" t="s">
        <v>422</v>
      </c>
      <c r="C246" s="186" t="s">
        <v>425</v>
      </c>
      <c r="D246" s="186">
        <v>77.8</v>
      </c>
      <c r="E246" s="186">
        <v>4.4800000000000004</v>
      </c>
      <c r="F246" s="186">
        <v>4.29</v>
      </c>
      <c r="G246" s="186">
        <v>2.3166122530000002</v>
      </c>
    </row>
    <row r="247" spans="1:7" ht="14.4">
      <c r="A247" s="186">
        <v>246</v>
      </c>
      <c r="B247" s="186" t="s">
        <v>387</v>
      </c>
      <c r="C247" s="186" t="s">
        <v>426</v>
      </c>
      <c r="D247" s="186">
        <v>474.4</v>
      </c>
      <c r="E247" s="186">
        <v>4.3</v>
      </c>
      <c r="F247" s="186">
        <v>4.3</v>
      </c>
      <c r="G247" s="186">
        <v>2.3210589380000002</v>
      </c>
    </row>
    <row r="248" spans="1:7" ht="14.4">
      <c r="A248" s="186">
        <v>247</v>
      </c>
      <c r="B248" s="186" t="s">
        <v>153</v>
      </c>
      <c r="C248" s="186" t="s">
        <v>427</v>
      </c>
      <c r="D248" s="186">
        <v>793.9</v>
      </c>
      <c r="E248" s="186">
        <v>3.95</v>
      </c>
      <c r="F248" s="186">
        <v>4.3</v>
      </c>
      <c r="G248" s="186">
        <v>2.3210589380000002</v>
      </c>
    </row>
    <row r="249" spans="1:7" ht="14.4">
      <c r="A249" s="186">
        <v>248</v>
      </c>
      <c r="B249" s="186" t="s">
        <v>158</v>
      </c>
      <c r="C249" s="186" t="s">
        <v>428</v>
      </c>
      <c r="D249" s="186">
        <v>101.2</v>
      </c>
      <c r="E249" s="186">
        <v>4.29</v>
      </c>
      <c r="F249" s="186">
        <v>4.3099999999999996</v>
      </c>
      <c r="G249" s="186">
        <v>2.325513731</v>
      </c>
    </row>
    <row r="250" spans="1:7" ht="14.4">
      <c r="A250" s="186">
        <v>249</v>
      </c>
      <c r="B250" s="186" t="s">
        <v>234</v>
      </c>
      <c r="C250" s="186" t="s">
        <v>429</v>
      </c>
      <c r="D250" s="186">
        <v>114.2</v>
      </c>
      <c r="E250" s="186">
        <v>4.4000000000000004</v>
      </c>
      <c r="F250" s="186">
        <v>4.32</v>
      </c>
      <c r="G250" s="186">
        <v>2.3299766449999999</v>
      </c>
    </row>
    <row r="251" spans="1:7" ht="14.4">
      <c r="A251" s="186">
        <v>250</v>
      </c>
      <c r="B251" s="186" t="s">
        <v>178</v>
      </c>
      <c r="C251" s="186" t="s">
        <v>430</v>
      </c>
      <c r="D251" s="186">
        <v>0.1</v>
      </c>
      <c r="E251" s="186">
        <v>4.03</v>
      </c>
      <c r="F251" s="186">
        <v>4.32</v>
      </c>
      <c r="G251" s="186">
        <v>2.3299766449999999</v>
      </c>
    </row>
    <row r="252" spans="1:7" ht="14.4">
      <c r="A252" s="186">
        <v>251</v>
      </c>
      <c r="B252" s="186" t="s">
        <v>178</v>
      </c>
      <c r="C252" s="186" t="s">
        <v>431</v>
      </c>
      <c r="D252" s="186">
        <v>58.2</v>
      </c>
      <c r="E252" s="186">
        <v>4.03</v>
      </c>
      <c r="F252" s="186">
        <v>4.32</v>
      </c>
      <c r="G252" s="186">
        <v>2.3299766449999999</v>
      </c>
    </row>
    <row r="253" spans="1:7" ht="14.4">
      <c r="A253" s="186">
        <v>252</v>
      </c>
      <c r="B253" s="186" t="s">
        <v>263</v>
      </c>
      <c r="C253" s="186" t="s">
        <v>432</v>
      </c>
      <c r="D253" s="186">
        <v>28.9</v>
      </c>
      <c r="E253" s="186">
        <v>4.41</v>
      </c>
      <c r="F253" s="186">
        <v>4.32</v>
      </c>
      <c r="G253" s="186">
        <v>2.3299766449999999</v>
      </c>
    </row>
    <row r="254" spans="1:7" ht="14.4">
      <c r="A254" s="186">
        <v>253</v>
      </c>
      <c r="B254" s="186" t="s">
        <v>373</v>
      </c>
      <c r="C254" s="186" t="s">
        <v>433</v>
      </c>
      <c r="D254" s="186">
        <v>79.3</v>
      </c>
      <c r="E254" s="186">
        <v>4.45</v>
      </c>
      <c r="F254" s="186">
        <v>4.32</v>
      </c>
      <c r="G254" s="186">
        <v>2.3299766449999999</v>
      </c>
    </row>
    <row r="255" spans="1:7" ht="14.4">
      <c r="A255" s="186">
        <v>254</v>
      </c>
      <c r="B255" s="186" t="s">
        <v>210</v>
      </c>
      <c r="C255" s="186" t="s">
        <v>434</v>
      </c>
      <c r="D255" s="186">
        <v>268.2</v>
      </c>
      <c r="E255" s="186">
        <v>4.05</v>
      </c>
      <c r="F255" s="186">
        <v>4.32</v>
      </c>
      <c r="G255" s="186">
        <v>2.3299766449999999</v>
      </c>
    </row>
    <row r="256" spans="1:7" ht="14.4">
      <c r="A256" s="186">
        <v>255</v>
      </c>
      <c r="B256" s="186" t="s">
        <v>271</v>
      </c>
      <c r="C256" s="186" t="s">
        <v>435</v>
      </c>
      <c r="D256" s="186">
        <v>596.20000000000005</v>
      </c>
      <c r="E256" s="186">
        <v>4.33</v>
      </c>
      <c r="F256" s="186">
        <v>4.33</v>
      </c>
      <c r="G256" s="186">
        <v>2.3344476950000002</v>
      </c>
    </row>
    <row r="257" spans="1:7" ht="14.4">
      <c r="A257" s="186">
        <v>256</v>
      </c>
      <c r="B257" s="186" t="s">
        <v>252</v>
      </c>
      <c r="C257" s="186" t="s">
        <v>436</v>
      </c>
      <c r="D257" s="186">
        <v>9.4</v>
      </c>
      <c r="E257" s="186">
        <v>4.25</v>
      </c>
      <c r="F257" s="186">
        <v>4.33</v>
      </c>
      <c r="G257" s="186">
        <v>2.3344476950000002</v>
      </c>
    </row>
    <row r="258" spans="1:7" ht="14.4">
      <c r="A258" s="186">
        <v>257</v>
      </c>
      <c r="B258" s="186" t="s">
        <v>175</v>
      </c>
      <c r="C258" s="186" t="s">
        <v>437</v>
      </c>
      <c r="D258" s="186">
        <v>247.1</v>
      </c>
      <c r="E258" s="186">
        <v>4.2699999999999996</v>
      </c>
      <c r="F258" s="186">
        <v>4.33</v>
      </c>
      <c r="G258" s="186">
        <v>2.3344476950000002</v>
      </c>
    </row>
    <row r="259" spans="1:7" ht="14.4">
      <c r="A259" s="186">
        <v>258</v>
      </c>
      <c r="B259" s="186" t="s">
        <v>373</v>
      </c>
      <c r="C259" s="186" t="s">
        <v>438</v>
      </c>
      <c r="D259" s="186">
        <v>4.7</v>
      </c>
      <c r="E259" s="186">
        <v>4.71</v>
      </c>
      <c r="F259" s="186">
        <v>4.33</v>
      </c>
      <c r="G259" s="186">
        <v>2.3344476950000002</v>
      </c>
    </row>
    <row r="260" spans="1:7" ht="14.4">
      <c r="A260" s="186">
        <v>259</v>
      </c>
      <c r="B260" s="186" t="s">
        <v>307</v>
      </c>
      <c r="C260" s="186" t="s">
        <v>439</v>
      </c>
      <c r="D260" s="186">
        <v>2.8</v>
      </c>
      <c r="E260" s="186">
        <v>4.28</v>
      </c>
      <c r="F260" s="186">
        <v>4.33</v>
      </c>
      <c r="G260" s="186">
        <v>2.3344476950000002</v>
      </c>
    </row>
    <row r="261" spans="1:7" ht="14.4">
      <c r="A261" s="186">
        <v>260</v>
      </c>
      <c r="B261" s="186" t="s">
        <v>440</v>
      </c>
      <c r="C261" s="186" t="s">
        <v>441</v>
      </c>
      <c r="D261" s="186">
        <v>150.19999999999999</v>
      </c>
      <c r="E261" s="186">
        <v>4.68</v>
      </c>
      <c r="F261" s="186">
        <v>4.33</v>
      </c>
      <c r="G261" s="186">
        <v>2.3344476950000002</v>
      </c>
    </row>
    <row r="262" spans="1:7" ht="14.4">
      <c r="A262" s="186">
        <v>261</v>
      </c>
      <c r="B262" s="186" t="s">
        <v>319</v>
      </c>
      <c r="C262" s="186" t="s">
        <v>442</v>
      </c>
      <c r="D262" s="186">
        <v>17.899999999999999</v>
      </c>
      <c r="E262" s="186">
        <v>4.21</v>
      </c>
      <c r="F262" s="186">
        <v>4.34</v>
      </c>
      <c r="G262" s="186">
        <v>2.3389268950000002</v>
      </c>
    </row>
    <row r="263" spans="1:7" ht="14.4">
      <c r="A263" s="186">
        <v>262</v>
      </c>
      <c r="B263" s="186" t="s">
        <v>373</v>
      </c>
      <c r="C263" s="186" t="s">
        <v>443</v>
      </c>
      <c r="D263" s="186">
        <v>211.9</v>
      </c>
      <c r="E263" s="186">
        <v>4.49</v>
      </c>
      <c r="F263" s="186">
        <v>4.3499999999999996</v>
      </c>
      <c r="G263" s="186">
        <v>2.3434142580000001</v>
      </c>
    </row>
    <row r="264" spans="1:7" ht="14.4">
      <c r="A264" s="186">
        <v>263</v>
      </c>
      <c r="B264" s="186" t="s">
        <v>286</v>
      </c>
      <c r="C264" s="186" t="s">
        <v>444</v>
      </c>
      <c r="D264" s="186">
        <v>108</v>
      </c>
      <c r="E264" s="186">
        <v>4.7</v>
      </c>
      <c r="F264" s="186">
        <v>4.3600000000000003</v>
      </c>
      <c r="G264" s="186">
        <v>2.3479098</v>
      </c>
    </row>
    <row r="265" spans="1:7" ht="14.4">
      <c r="A265" s="186">
        <v>264</v>
      </c>
      <c r="B265" s="186" t="s">
        <v>175</v>
      </c>
      <c r="C265" s="186" t="s">
        <v>445</v>
      </c>
      <c r="D265" s="186">
        <v>141.1</v>
      </c>
      <c r="E265" s="186">
        <v>4.47</v>
      </c>
      <c r="F265" s="186">
        <v>4.3600000000000003</v>
      </c>
      <c r="G265" s="186">
        <v>2.3479098</v>
      </c>
    </row>
    <row r="266" spans="1:7" ht="14.4">
      <c r="A266" s="186">
        <v>265</v>
      </c>
      <c r="B266" s="186" t="s">
        <v>175</v>
      </c>
      <c r="C266" s="186" t="s">
        <v>446</v>
      </c>
      <c r="D266" s="186">
        <v>10.9</v>
      </c>
      <c r="E266" s="186">
        <v>4.32</v>
      </c>
      <c r="F266" s="186">
        <v>4.37</v>
      </c>
      <c r="G266" s="186">
        <v>2.3524135340000001</v>
      </c>
    </row>
    <row r="267" spans="1:7" ht="14.4">
      <c r="A267" s="186">
        <v>266</v>
      </c>
      <c r="B267" s="186" t="s">
        <v>263</v>
      </c>
      <c r="C267" s="186" t="s">
        <v>447</v>
      </c>
      <c r="D267" s="187">
        <v>1092.2</v>
      </c>
      <c r="E267" s="186">
        <v>3.96</v>
      </c>
      <c r="F267" s="186">
        <v>4.37</v>
      </c>
      <c r="G267" s="186">
        <v>2.3524135340000001</v>
      </c>
    </row>
    <row r="268" spans="1:7" ht="14.4">
      <c r="A268" s="186">
        <v>267</v>
      </c>
      <c r="B268" s="186" t="s">
        <v>309</v>
      </c>
      <c r="C268" s="186" t="s">
        <v>448</v>
      </c>
      <c r="D268" s="186">
        <v>104</v>
      </c>
      <c r="E268" s="186">
        <v>4.4400000000000004</v>
      </c>
      <c r="F268" s="186">
        <v>4.38</v>
      </c>
      <c r="G268" s="186">
        <v>2.3569254740000001</v>
      </c>
    </row>
    <row r="269" spans="1:7" ht="14.4">
      <c r="A269" s="186">
        <v>268</v>
      </c>
      <c r="B269" s="186" t="s">
        <v>449</v>
      </c>
      <c r="C269" s="186" t="s">
        <v>450</v>
      </c>
      <c r="D269" s="186">
        <v>48.5</v>
      </c>
      <c r="E269" s="186">
        <v>4.75</v>
      </c>
      <c r="F269" s="186">
        <v>4.3899999999999997</v>
      </c>
      <c r="G269" s="186">
        <v>2.3614456349999999</v>
      </c>
    </row>
    <row r="270" spans="1:7" ht="14.4">
      <c r="A270" s="186">
        <v>269</v>
      </c>
      <c r="B270" s="186" t="s">
        <v>451</v>
      </c>
      <c r="C270" s="186" t="s">
        <v>452</v>
      </c>
      <c r="D270" s="186">
        <v>64.3</v>
      </c>
      <c r="E270" s="186">
        <v>4.03</v>
      </c>
      <c r="F270" s="186">
        <v>4.3899999999999997</v>
      </c>
      <c r="G270" s="186">
        <v>2.3614456349999999</v>
      </c>
    </row>
    <row r="271" spans="1:7" ht="14.4">
      <c r="A271" s="186">
        <v>270</v>
      </c>
      <c r="B271" s="186" t="s">
        <v>252</v>
      </c>
      <c r="C271" s="186" t="s">
        <v>453</v>
      </c>
      <c r="D271" s="186">
        <v>2.2999999999999998</v>
      </c>
      <c r="E271" s="186">
        <v>4.54</v>
      </c>
      <c r="F271" s="186">
        <v>4.4000000000000004</v>
      </c>
      <c r="G271" s="186">
        <v>2.3659740299999998</v>
      </c>
    </row>
    <row r="272" spans="1:7" ht="14.4">
      <c r="A272" s="186">
        <v>271</v>
      </c>
      <c r="B272" s="186" t="s">
        <v>454</v>
      </c>
      <c r="C272" s="186" t="s">
        <v>455</v>
      </c>
      <c r="D272" s="186">
        <v>444.8</v>
      </c>
      <c r="E272" s="186">
        <v>4.45</v>
      </c>
      <c r="F272" s="186">
        <v>4.4000000000000004</v>
      </c>
      <c r="G272" s="186">
        <v>2.3659740299999998</v>
      </c>
    </row>
    <row r="273" spans="1:7" ht="14.4">
      <c r="A273" s="186">
        <v>272</v>
      </c>
      <c r="B273" s="186" t="s">
        <v>158</v>
      </c>
      <c r="C273" s="186" t="s">
        <v>456</v>
      </c>
      <c r="D273" s="186">
        <v>8.5</v>
      </c>
      <c r="E273" s="186">
        <v>4.3899999999999997</v>
      </c>
      <c r="F273" s="186">
        <v>4.4000000000000004</v>
      </c>
      <c r="G273" s="186">
        <v>2.3659740299999998</v>
      </c>
    </row>
    <row r="274" spans="1:7" ht="14.4">
      <c r="A274" s="186">
        <v>273</v>
      </c>
      <c r="B274" s="186" t="s">
        <v>114</v>
      </c>
      <c r="C274" s="186" t="s">
        <v>457</v>
      </c>
      <c r="D274" s="186">
        <v>60.2</v>
      </c>
      <c r="E274" s="186">
        <v>4.5599999999999996</v>
      </c>
      <c r="F274" s="186">
        <v>4.41</v>
      </c>
      <c r="G274" s="186">
        <v>2.3705106740000002</v>
      </c>
    </row>
    <row r="275" spans="1:7" ht="14.4">
      <c r="A275" s="186">
        <v>274</v>
      </c>
      <c r="B275" s="186" t="s">
        <v>297</v>
      </c>
      <c r="C275" s="186" t="s">
        <v>458</v>
      </c>
      <c r="D275" s="186">
        <v>43.7</v>
      </c>
      <c r="E275" s="186">
        <v>4.37</v>
      </c>
      <c r="F275" s="186">
        <v>4.41</v>
      </c>
      <c r="G275" s="186">
        <v>2.3705106740000002</v>
      </c>
    </row>
    <row r="276" spans="1:7" ht="14.4">
      <c r="A276" s="186">
        <v>275</v>
      </c>
      <c r="B276" s="186" t="s">
        <v>213</v>
      </c>
      <c r="C276" s="186" t="s">
        <v>459</v>
      </c>
      <c r="D276" s="186">
        <v>8.4</v>
      </c>
      <c r="E276" s="186">
        <v>4.55</v>
      </c>
      <c r="F276" s="186">
        <v>4.41</v>
      </c>
      <c r="G276" s="186">
        <v>2.3705106740000002</v>
      </c>
    </row>
    <row r="277" spans="1:7" ht="14.4">
      <c r="A277" s="186">
        <v>276</v>
      </c>
      <c r="B277" s="186" t="s">
        <v>162</v>
      </c>
      <c r="C277" s="186" t="s">
        <v>460</v>
      </c>
      <c r="D277" s="186">
        <v>15.3</v>
      </c>
      <c r="E277" s="186">
        <v>4.54</v>
      </c>
      <c r="F277" s="186">
        <v>4.42</v>
      </c>
      <c r="G277" s="186">
        <v>2.3750555809999998</v>
      </c>
    </row>
    <row r="278" spans="1:7" ht="14.4">
      <c r="A278" s="186">
        <v>277</v>
      </c>
      <c r="B278" s="186" t="s">
        <v>365</v>
      </c>
      <c r="C278" s="186" t="s">
        <v>461</v>
      </c>
      <c r="D278" s="186">
        <v>91.3</v>
      </c>
      <c r="E278" s="186">
        <v>4.34</v>
      </c>
      <c r="F278" s="186">
        <v>4.42</v>
      </c>
      <c r="G278" s="186">
        <v>2.3750555809999998</v>
      </c>
    </row>
    <row r="279" spans="1:7" ht="14.4">
      <c r="A279" s="186">
        <v>278</v>
      </c>
      <c r="B279" s="186" t="s">
        <v>213</v>
      </c>
      <c r="C279" s="186" t="s">
        <v>462</v>
      </c>
      <c r="D279" s="186">
        <v>42.6</v>
      </c>
      <c r="E279" s="186">
        <v>4.55</v>
      </c>
      <c r="F279" s="186">
        <v>4.42</v>
      </c>
      <c r="G279" s="186">
        <v>2.3750555809999998</v>
      </c>
    </row>
    <row r="280" spans="1:7" ht="14.4">
      <c r="A280" s="186">
        <v>279</v>
      </c>
      <c r="B280" s="186" t="s">
        <v>175</v>
      </c>
      <c r="C280" s="186" t="s">
        <v>463</v>
      </c>
      <c r="D280" s="186">
        <v>186.8</v>
      </c>
      <c r="E280" s="186">
        <v>4.6500000000000004</v>
      </c>
      <c r="F280" s="186">
        <v>4.43</v>
      </c>
      <c r="G280" s="186">
        <v>2.379608766</v>
      </c>
    </row>
    <row r="281" spans="1:7" ht="14.4">
      <c r="A281" s="186">
        <v>280</v>
      </c>
      <c r="B281" s="186" t="s">
        <v>288</v>
      </c>
      <c r="C281" s="186" t="s">
        <v>464</v>
      </c>
      <c r="D281" s="186">
        <v>1.3</v>
      </c>
      <c r="E281" s="186">
        <v>4.37</v>
      </c>
      <c r="F281" s="186">
        <v>4.43</v>
      </c>
      <c r="G281" s="186">
        <v>2.379608766</v>
      </c>
    </row>
    <row r="282" spans="1:7" ht="14.4">
      <c r="A282" s="186">
        <v>281</v>
      </c>
      <c r="B282" s="186" t="s">
        <v>164</v>
      </c>
      <c r="C282" s="186" t="s">
        <v>465</v>
      </c>
      <c r="D282" s="186">
        <v>37.4</v>
      </c>
      <c r="E282" s="186">
        <v>4.82</v>
      </c>
      <c r="F282" s="186">
        <v>4.4400000000000004</v>
      </c>
      <c r="G282" s="186">
        <v>2.3841702420000002</v>
      </c>
    </row>
    <row r="283" spans="1:7" ht="14.4">
      <c r="A283" s="186">
        <v>282</v>
      </c>
      <c r="B283" s="186" t="s">
        <v>146</v>
      </c>
      <c r="C283" s="186" t="s">
        <v>466</v>
      </c>
      <c r="D283" s="186">
        <v>70.099999999999994</v>
      </c>
      <c r="E283" s="186">
        <v>4.47</v>
      </c>
      <c r="F283" s="186">
        <v>4.4400000000000004</v>
      </c>
      <c r="G283" s="186">
        <v>2.3841702420000002</v>
      </c>
    </row>
    <row r="284" spans="1:7" ht="14.4">
      <c r="A284" s="186">
        <v>283</v>
      </c>
      <c r="B284" s="186" t="s">
        <v>297</v>
      </c>
      <c r="C284" s="186" t="s">
        <v>467</v>
      </c>
      <c r="D284" s="186">
        <v>0.1</v>
      </c>
      <c r="E284" s="186">
        <v>4.4000000000000004</v>
      </c>
      <c r="F284" s="186">
        <v>4.4400000000000004</v>
      </c>
      <c r="G284" s="186">
        <v>2.3841702420000002</v>
      </c>
    </row>
    <row r="285" spans="1:7" ht="14.4">
      <c r="A285" s="186">
        <v>284</v>
      </c>
      <c r="B285" s="186" t="s">
        <v>162</v>
      </c>
      <c r="C285" s="186" t="s">
        <v>468</v>
      </c>
      <c r="D285" s="186">
        <v>5.9</v>
      </c>
      <c r="E285" s="186">
        <v>4.72</v>
      </c>
      <c r="F285" s="186">
        <v>4.46</v>
      </c>
      <c r="G285" s="186">
        <v>2.393318126</v>
      </c>
    </row>
    <row r="286" spans="1:7" ht="14.4">
      <c r="A286" s="186">
        <v>285</v>
      </c>
      <c r="B286" s="186" t="s">
        <v>263</v>
      </c>
      <c r="C286" s="186" t="s">
        <v>469</v>
      </c>
      <c r="D286" s="186">
        <v>70.5</v>
      </c>
      <c r="E286" s="186">
        <v>4.3600000000000003</v>
      </c>
      <c r="F286" s="186">
        <v>4.46</v>
      </c>
      <c r="G286" s="186">
        <v>2.393318126</v>
      </c>
    </row>
    <row r="287" spans="1:7" ht="14.4">
      <c r="A287" s="186">
        <v>286</v>
      </c>
      <c r="B287" s="186" t="s">
        <v>373</v>
      </c>
      <c r="C287" s="186" t="s">
        <v>470</v>
      </c>
      <c r="D287" s="186">
        <v>344.4</v>
      </c>
      <c r="E287" s="186">
        <v>4.4400000000000004</v>
      </c>
      <c r="F287" s="186">
        <v>4.46</v>
      </c>
      <c r="G287" s="186">
        <v>2.393318126</v>
      </c>
    </row>
    <row r="288" spans="1:7" ht="14.4">
      <c r="A288" s="186">
        <v>287</v>
      </c>
      <c r="B288" s="186" t="s">
        <v>213</v>
      </c>
      <c r="C288" s="186" t="s">
        <v>471</v>
      </c>
      <c r="D288" s="186">
        <v>31.2</v>
      </c>
      <c r="E288" s="186">
        <v>4.79</v>
      </c>
      <c r="F288" s="186">
        <v>4.46</v>
      </c>
      <c r="G288" s="186">
        <v>2.393318126</v>
      </c>
    </row>
    <row r="289" spans="1:7" ht="14.4">
      <c r="A289" s="186">
        <v>288</v>
      </c>
      <c r="B289" s="186" t="s">
        <v>178</v>
      </c>
      <c r="C289" s="186" t="s">
        <v>472</v>
      </c>
      <c r="D289" s="186">
        <v>0.2</v>
      </c>
      <c r="E289" s="186">
        <v>4.55</v>
      </c>
      <c r="F289" s="186">
        <v>4.47</v>
      </c>
      <c r="G289" s="186">
        <v>2.397904563</v>
      </c>
    </row>
    <row r="290" spans="1:7" ht="14.4">
      <c r="A290" s="186">
        <v>289</v>
      </c>
      <c r="B290" s="186" t="s">
        <v>153</v>
      </c>
      <c r="C290" s="186" t="s">
        <v>473</v>
      </c>
      <c r="D290" s="187">
        <v>6292.7</v>
      </c>
      <c r="E290" s="186">
        <v>4.7300000000000004</v>
      </c>
      <c r="F290" s="186">
        <v>4.47</v>
      </c>
      <c r="G290" s="186">
        <v>2.397904563</v>
      </c>
    </row>
    <row r="291" spans="1:7" ht="14.4">
      <c r="A291" s="186">
        <v>290</v>
      </c>
      <c r="B291" s="186" t="s">
        <v>263</v>
      </c>
      <c r="C291" s="186" t="s">
        <v>474</v>
      </c>
      <c r="D291" s="186">
        <v>354.2</v>
      </c>
      <c r="E291" s="186">
        <v>4.09</v>
      </c>
      <c r="F291" s="186">
        <v>4.4800000000000004</v>
      </c>
      <c r="G291" s="186">
        <v>2.4024993490000002</v>
      </c>
    </row>
    <row r="292" spans="1:7" ht="14.4">
      <c r="A292" s="186">
        <v>291</v>
      </c>
      <c r="B292" s="186" t="s">
        <v>146</v>
      </c>
      <c r="C292" s="186" t="s">
        <v>475</v>
      </c>
      <c r="D292" s="186">
        <v>5.2</v>
      </c>
      <c r="E292" s="186">
        <v>4.54</v>
      </c>
      <c r="F292" s="186">
        <v>4.4800000000000004</v>
      </c>
      <c r="G292" s="186">
        <v>2.4024993490000002</v>
      </c>
    </row>
    <row r="293" spans="1:7" ht="14.4">
      <c r="A293" s="186">
        <v>292</v>
      </c>
      <c r="B293" s="186" t="s">
        <v>395</v>
      </c>
      <c r="C293" s="186" t="s">
        <v>476</v>
      </c>
      <c r="D293" s="187">
        <v>1765</v>
      </c>
      <c r="E293" s="186">
        <v>4.4400000000000004</v>
      </c>
      <c r="F293" s="186">
        <v>4.4800000000000004</v>
      </c>
      <c r="G293" s="186">
        <v>2.4024993490000002</v>
      </c>
    </row>
    <row r="294" spans="1:7" ht="14.4">
      <c r="A294" s="186">
        <v>293</v>
      </c>
      <c r="B294" s="186" t="s">
        <v>477</v>
      </c>
      <c r="C294" s="186" t="s">
        <v>478</v>
      </c>
      <c r="D294" s="186">
        <v>0.6</v>
      </c>
      <c r="E294" s="186">
        <v>4.2699999999999996</v>
      </c>
      <c r="F294" s="186">
        <v>4.4800000000000004</v>
      </c>
      <c r="G294" s="186">
        <v>2.4024993490000002</v>
      </c>
    </row>
    <row r="295" spans="1:7" ht="14.4">
      <c r="A295" s="186">
        <v>294</v>
      </c>
      <c r="B295" s="186" t="s">
        <v>213</v>
      </c>
      <c r="C295" s="186" t="s">
        <v>479</v>
      </c>
      <c r="D295" s="186">
        <v>157.19999999999999</v>
      </c>
      <c r="E295" s="186">
        <v>4.05</v>
      </c>
      <c r="F295" s="186">
        <v>4.4800000000000004</v>
      </c>
      <c r="G295" s="186">
        <v>2.4024993490000002</v>
      </c>
    </row>
    <row r="296" spans="1:7" ht="14.4">
      <c r="A296" s="186">
        <v>295</v>
      </c>
      <c r="B296" s="186" t="s">
        <v>213</v>
      </c>
      <c r="C296" s="186" t="s">
        <v>480</v>
      </c>
      <c r="D296" s="186">
        <v>137.19999999999999</v>
      </c>
      <c r="E296" s="186">
        <v>4.29</v>
      </c>
      <c r="F296" s="186">
        <v>4.4800000000000004</v>
      </c>
      <c r="G296" s="186">
        <v>2.4024993490000002</v>
      </c>
    </row>
    <row r="297" spans="1:7" ht="14.4">
      <c r="A297" s="186">
        <v>296</v>
      </c>
      <c r="B297" s="186" t="s">
        <v>213</v>
      </c>
      <c r="C297" s="186" t="s">
        <v>481</v>
      </c>
      <c r="D297" s="186">
        <v>2.7</v>
      </c>
      <c r="E297" s="186">
        <v>4.37</v>
      </c>
      <c r="F297" s="186">
        <v>4.49</v>
      </c>
      <c r="G297" s="186">
        <v>2.407102498</v>
      </c>
    </row>
    <row r="298" spans="1:7" ht="14.4">
      <c r="A298" s="186">
        <v>297</v>
      </c>
      <c r="B298" s="186" t="s">
        <v>213</v>
      </c>
      <c r="C298" s="186" t="s">
        <v>482</v>
      </c>
      <c r="D298" s="186">
        <v>58.5</v>
      </c>
      <c r="E298" s="186">
        <v>4.82</v>
      </c>
      <c r="F298" s="186">
        <v>4.49</v>
      </c>
      <c r="G298" s="186">
        <v>2.407102498</v>
      </c>
    </row>
    <row r="299" spans="1:7" ht="14.4">
      <c r="A299" s="186">
        <v>298</v>
      </c>
      <c r="B299" s="186" t="s">
        <v>483</v>
      </c>
      <c r="C299" s="186" t="s">
        <v>484</v>
      </c>
      <c r="D299" s="186">
        <v>614.4</v>
      </c>
      <c r="E299" s="186">
        <v>3.7</v>
      </c>
      <c r="F299" s="186">
        <v>4.5</v>
      </c>
      <c r="G299" s="186">
        <v>2.4117140250000002</v>
      </c>
    </row>
    <row r="300" spans="1:7" ht="14.4">
      <c r="A300" s="186">
        <v>299</v>
      </c>
      <c r="B300" s="186" t="s">
        <v>213</v>
      </c>
      <c r="C300" s="186" t="s">
        <v>485</v>
      </c>
      <c r="D300" s="186">
        <v>77.099999999999994</v>
      </c>
      <c r="E300" s="186">
        <v>4.83</v>
      </c>
      <c r="F300" s="186">
        <v>4.5</v>
      </c>
      <c r="G300" s="186">
        <v>2.4117140250000002</v>
      </c>
    </row>
    <row r="301" spans="1:7" ht="14.4">
      <c r="A301" s="186">
        <v>300</v>
      </c>
      <c r="B301" s="186" t="s">
        <v>241</v>
      </c>
      <c r="C301" s="186" t="s">
        <v>486</v>
      </c>
      <c r="D301" s="186">
        <v>11.2</v>
      </c>
      <c r="E301" s="186">
        <v>4.87</v>
      </c>
      <c r="F301" s="186">
        <v>4.51</v>
      </c>
      <c r="G301" s="186">
        <v>2.4163339439999998</v>
      </c>
    </row>
    <row r="302" spans="1:7" ht="14.4">
      <c r="A302" s="186">
        <v>301</v>
      </c>
      <c r="B302" s="186" t="s">
        <v>477</v>
      </c>
      <c r="C302" s="186" t="s">
        <v>487</v>
      </c>
      <c r="D302" s="186">
        <v>32.6</v>
      </c>
      <c r="E302" s="186">
        <v>4.3099999999999996</v>
      </c>
      <c r="F302" s="186">
        <v>4.51</v>
      </c>
      <c r="G302" s="186">
        <v>2.4163339439999998</v>
      </c>
    </row>
    <row r="303" spans="1:7" ht="14.4">
      <c r="A303" s="186">
        <v>302</v>
      </c>
      <c r="B303" s="186" t="s">
        <v>488</v>
      </c>
      <c r="C303" s="186" t="s">
        <v>489</v>
      </c>
      <c r="D303" s="186">
        <v>1.6</v>
      </c>
      <c r="E303" s="186">
        <v>4.9800000000000004</v>
      </c>
      <c r="F303" s="186">
        <v>4.51</v>
      </c>
      <c r="G303" s="186">
        <v>2.4163339439999998</v>
      </c>
    </row>
    <row r="304" spans="1:7" ht="14.4">
      <c r="A304" s="186">
        <v>303</v>
      </c>
      <c r="B304" s="186" t="s">
        <v>213</v>
      </c>
      <c r="C304" s="186" t="s">
        <v>490</v>
      </c>
      <c r="D304" s="186">
        <v>250</v>
      </c>
      <c r="E304" s="186">
        <v>4.13</v>
      </c>
      <c r="F304" s="186">
        <v>4.51</v>
      </c>
      <c r="G304" s="186">
        <v>2.4163339439999998</v>
      </c>
    </row>
    <row r="305" spans="1:7" ht="14.4">
      <c r="A305" s="186">
        <v>304</v>
      </c>
      <c r="B305" s="186" t="s">
        <v>184</v>
      </c>
      <c r="C305" s="186" t="s">
        <v>491</v>
      </c>
      <c r="D305" s="187">
        <v>106254.39999999999</v>
      </c>
      <c r="E305" s="186">
        <v>4.41</v>
      </c>
      <c r="F305" s="186">
        <v>4.51</v>
      </c>
      <c r="G305" s="186">
        <v>2.4163339439999998</v>
      </c>
    </row>
    <row r="306" spans="1:7" ht="14.4">
      <c r="A306" s="186">
        <v>305</v>
      </c>
      <c r="B306" s="186" t="s">
        <v>280</v>
      </c>
      <c r="C306" s="186" t="s">
        <v>492</v>
      </c>
      <c r="D306" s="186">
        <v>24.4</v>
      </c>
      <c r="E306" s="186">
        <v>4</v>
      </c>
      <c r="F306" s="186">
        <v>4.51</v>
      </c>
      <c r="G306" s="186">
        <v>2.4163339439999998</v>
      </c>
    </row>
    <row r="307" spans="1:7" ht="14.4">
      <c r="A307" s="186">
        <v>306</v>
      </c>
      <c r="B307" s="186" t="s">
        <v>241</v>
      </c>
      <c r="C307" s="186" t="s">
        <v>493</v>
      </c>
      <c r="D307" s="186">
        <v>1.3</v>
      </c>
      <c r="E307" s="186">
        <v>4.51</v>
      </c>
      <c r="F307" s="186">
        <v>4.5199999999999996</v>
      </c>
      <c r="G307" s="186">
        <v>2.42096227</v>
      </c>
    </row>
    <row r="308" spans="1:7" ht="14.4">
      <c r="A308" s="186">
        <v>307</v>
      </c>
      <c r="B308" s="186" t="s">
        <v>271</v>
      </c>
      <c r="C308" s="186" t="s">
        <v>494</v>
      </c>
      <c r="D308" s="186">
        <v>9.5</v>
      </c>
      <c r="E308" s="186">
        <v>4.5999999999999996</v>
      </c>
      <c r="F308" s="186">
        <v>4.5199999999999996</v>
      </c>
      <c r="G308" s="186">
        <v>2.42096227</v>
      </c>
    </row>
    <row r="309" spans="1:7" ht="14.4">
      <c r="A309" s="186">
        <v>308</v>
      </c>
      <c r="B309" s="186" t="s">
        <v>158</v>
      </c>
      <c r="C309" s="186" t="s">
        <v>495</v>
      </c>
      <c r="D309" s="186">
        <v>232.5</v>
      </c>
      <c r="E309" s="186">
        <v>4.51</v>
      </c>
      <c r="F309" s="186">
        <v>4.5199999999999996</v>
      </c>
      <c r="G309" s="186">
        <v>2.42096227</v>
      </c>
    </row>
    <row r="310" spans="1:7" ht="14.4">
      <c r="A310" s="186">
        <v>309</v>
      </c>
      <c r="B310" s="186" t="s">
        <v>271</v>
      </c>
      <c r="C310" s="186" t="s">
        <v>496</v>
      </c>
      <c r="D310" s="186">
        <v>215.9</v>
      </c>
      <c r="E310" s="186">
        <v>4.09</v>
      </c>
      <c r="F310" s="186">
        <v>4.53</v>
      </c>
      <c r="G310" s="186">
        <v>2.4255990170000001</v>
      </c>
    </row>
    <row r="311" spans="1:7" ht="14.4">
      <c r="A311" s="186">
        <v>310</v>
      </c>
      <c r="B311" s="186" t="s">
        <v>133</v>
      </c>
      <c r="C311" s="186" t="s">
        <v>497</v>
      </c>
      <c r="D311" s="186">
        <v>143.9</v>
      </c>
      <c r="E311" s="186">
        <v>4.1500000000000004</v>
      </c>
      <c r="F311" s="186">
        <v>4.53</v>
      </c>
      <c r="G311" s="186">
        <v>2.4255990170000001</v>
      </c>
    </row>
    <row r="312" spans="1:7" ht="14.4">
      <c r="A312" s="186">
        <v>311</v>
      </c>
      <c r="B312" s="186" t="s">
        <v>335</v>
      </c>
      <c r="C312" s="186" t="s">
        <v>498</v>
      </c>
      <c r="D312" s="186">
        <v>11.1</v>
      </c>
      <c r="E312" s="186">
        <v>4.66</v>
      </c>
      <c r="F312" s="186">
        <v>4.53</v>
      </c>
      <c r="G312" s="186">
        <v>2.4255990170000001</v>
      </c>
    </row>
    <row r="313" spans="1:7" ht="14.4">
      <c r="A313" s="186">
        <v>312</v>
      </c>
      <c r="B313" s="186" t="s">
        <v>153</v>
      </c>
      <c r="C313" s="186" t="s">
        <v>499</v>
      </c>
      <c r="D313" s="186">
        <v>903.1</v>
      </c>
      <c r="E313" s="186">
        <v>4.8</v>
      </c>
      <c r="F313" s="186">
        <v>4.54</v>
      </c>
      <c r="G313" s="186">
        <v>2.4302442000000002</v>
      </c>
    </row>
    <row r="314" spans="1:7" ht="14.4">
      <c r="A314" s="186">
        <v>313</v>
      </c>
      <c r="B314" s="186" t="s">
        <v>241</v>
      </c>
      <c r="C314" s="186" t="s">
        <v>500</v>
      </c>
      <c r="D314" s="186">
        <v>25.2</v>
      </c>
      <c r="E314" s="186">
        <v>4.92</v>
      </c>
      <c r="F314" s="186">
        <v>4.55</v>
      </c>
      <c r="G314" s="186">
        <v>2.4348978319999999</v>
      </c>
    </row>
    <row r="315" spans="1:7" ht="14.4">
      <c r="A315" s="186">
        <v>314</v>
      </c>
      <c r="B315" s="186" t="s">
        <v>138</v>
      </c>
      <c r="C315" s="186" t="s">
        <v>501</v>
      </c>
      <c r="D315" s="186">
        <v>3.5</v>
      </c>
      <c r="E315" s="186">
        <v>4.6100000000000003</v>
      </c>
      <c r="F315" s="186">
        <v>4.55</v>
      </c>
      <c r="G315" s="186">
        <v>2.4348978319999999</v>
      </c>
    </row>
    <row r="316" spans="1:7" ht="14.4">
      <c r="A316" s="186">
        <v>315</v>
      </c>
      <c r="B316" s="186" t="s">
        <v>146</v>
      </c>
      <c r="C316" s="186" t="s">
        <v>502</v>
      </c>
      <c r="D316" s="186">
        <v>419.4</v>
      </c>
      <c r="E316" s="186">
        <v>4.8</v>
      </c>
      <c r="F316" s="186">
        <v>4.55</v>
      </c>
      <c r="G316" s="186">
        <v>2.4348978319999999</v>
      </c>
    </row>
    <row r="317" spans="1:7" ht="14.4">
      <c r="A317" s="186">
        <v>316</v>
      </c>
      <c r="B317" s="186" t="s">
        <v>158</v>
      </c>
      <c r="C317" s="186" t="s">
        <v>503</v>
      </c>
      <c r="D317" s="186">
        <v>186.1</v>
      </c>
      <c r="E317" s="186">
        <v>4.84</v>
      </c>
      <c r="F317" s="186">
        <v>4.55</v>
      </c>
      <c r="G317" s="186">
        <v>2.4348978319999999</v>
      </c>
    </row>
    <row r="318" spans="1:7" ht="14.4">
      <c r="A318" s="186">
        <v>317</v>
      </c>
      <c r="B318" s="186" t="s">
        <v>210</v>
      </c>
      <c r="C318" s="186" t="s">
        <v>504</v>
      </c>
      <c r="D318" s="186">
        <v>134.1</v>
      </c>
      <c r="E318" s="186">
        <v>4.5599999999999996</v>
      </c>
      <c r="F318" s="186">
        <v>4.55</v>
      </c>
      <c r="G318" s="186">
        <v>2.4348978319999999</v>
      </c>
    </row>
    <row r="319" spans="1:7" ht="14.4">
      <c r="A319" s="186">
        <v>318</v>
      </c>
      <c r="B319" s="186" t="s">
        <v>213</v>
      </c>
      <c r="C319" s="186" t="s">
        <v>505</v>
      </c>
      <c r="D319" s="186">
        <v>144.19999999999999</v>
      </c>
      <c r="E319" s="186">
        <v>4.8899999999999997</v>
      </c>
      <c r="F319" s="186">
        <v>4.55</v>
      </c>
      <c r="G319" s="186">
        <v>2.4348978319999999</v>
      </c>
    </row>
    <row r="320" spans="1:7" ht="14.4">
      <c r="A320" s="186">
        <v>319</v>
      </c>
      <c r="B320" s="186" t="s">
        <v>241</v>
      </c>
      <c r="C320" s="186" t="s">
        <v>506</v>
      </c>
      <c r="D320" s="186">
        <v>14.5</v>
      </c>
      <c r="E320" s="186">
        <v>4.54</v>
      </c>
      <c r="F320" s="186">
        <v>4.5599999999999996</v>
      </c>
      <c r="G320" s="186">
        <v>2.4395599300000002</v>
      </c>
    </row>
    <row r="321" spans="1:7" ht="14.4">
      <c r="A321" s="186">
        <v>320</v>
      </c>
      <c r="B321" s="186" t="s">
        <v>483</v>
      </c>
      <c r="C321" s="186" t="s">
        <v>507</v>
      </c>
      <c r="D321" s="187">
        <v>4488</v>
      </c>
      <c r="E321" s="186">
        <v>4.5</v>
      </c>
      <c r="F321" s="186">
        <v>4.5599999999999996</v>
      </c>
      <c r="G321" s="186">
        <v>2.4395599300000002</v>
      </c>
    </row>
    <row r="322" spans="1:7" ht="14.4">
      <c r="A322" s="186">
        <v>321</v>
      </c>
      <c r="B322" s="186" t="s">
        <v>175</v>
      </c>
      <c r="C322" s="186" t="s">
        <v>508</v>
      </c>
      <c r="D322" s="186">
        <v>290.8</v>
      </c>
      <c r="E322" s="186">
        <v>4.6100000000000003</v>
      </c>
      <c r="F322" s="186">
        <v>4.5599999999999996</v>
      </c>
      <c r="G322" s="186">
        <v>2.4395599300000002</v>
      </c>
    </row>
    <row r="323" spans="1:7" ht="14.4">
      <c r="A323" s="186">
        <v>322</v>
      </c>
      <c r="B323" s="186" t="s">
        <v>415</v>
      </c>
      <c r="C323" s="186" t="s">
        <v>509</v>
      </c>
      <c r="D323" s="186">
        <v>7.6</v>
      </c>
      <c r="E323" s="186">
        <v>4.57</v>
      </c>
      <c r="F323" s="186">
        <v>4.5599999999999996</v>
      </c>
      <c r="G323" s="186">
        <v>2.4395599300000002</v>
      </c>
    </row>
    <row r="324" spans="1:7" ht="14.4">
      <c r="A324" s="186">
        <v>323</v>
      </c>
      <c r="B324" s="186" t="s">
        <v>415</v>
      </c>
      <c r="C324" s="186" t="s">
        <v>510</v>
      </c>
      <c r="D324" s="186">
        <v>40.4</v>
      </c>
      <c r="E324" s="186">
        <v>4.57</v>
      </c>
      <c r="F324" s="186">
        <v>4.5599999999999996</v>
      </c>
      <c r="G324" s="186">
        <v>2.4395599300000002</v>
      </c>
    </row>
    <row r="325" spans="1:7" ht="14.4">
      <c r="A325" s="186">
        <v>324</v>
      </c>
      <c r="B325" s="186" t="s">
        <v>162</v>
      </c>
      <c r="C325" s="186" t="s">
        <v>511</v>
      </c>
      <c r="D325" s="186">
        <v>2.8</v>
      </c>
      <c r="E325" s="186">
        <v>4.54</v>
      </c>
      <c r="F325" s="186">
        <v>4.57</v>
      </c>
      <c r="G325" s="186">
        <v>2.4442305069999999</v>
      </c>
    </row>
    <row r="326" spans="1:7" ht="14.4">
      <c r="A326" s="186">
        <v>325</v>
      </c>
      <c r="B326" s="186" t="s">
        <v>512</v>
      </c>
      <c r="C326" s="186" t="s">
        <v>513</v>
      </c>
      <c r="D326" s="186">
        <v>214.4</v>
      </c>
      <c r="E326" s="186">
        <v>4.5</v>
      </c>
      <c r="F326" s="186">
        <v>4.57</v>
      </c>
      <c r="G326" s="186">
        <v>2.4442305069999999</v>
      </c>
    </row>
    <row r="327" spans="1:7" ht="14.4">
      <c r="A327" s="186">
        <v>326</v>
      </c>
      <c r="B327" s="186" t="s">
        <v>340</v>
      </c>
      <c r="C327" s="186" t="s">
        <v>514</v>
      </c>
      <c r="D327" s="186">
        <v>5.0999999999999996</v>
      </c>
      <c r="E327" s="186">
        <v>4.78</v>
      </c>
      <c r="F327" s="186">
        <v>4.57</v>
      </c>
      <c r="G327" s="186">
        <v>2.4442305069999999</v>
      </c>
    </row>
    <row r="328" spans="1:7" ht="14.4">
      <c r="A328" s="186">
        <v>327</v>
      </c>
      <c r="B328" s="186" t="s">
        <v>112</v>
      </c>
      <c r="C328" s="186" t="s">
        <v>515</v>
      </c>
      <c r="D328" s="186">
        <v>244.5</v>
      </c>
      <c r="E328" s="186">
        <v>4.76</v>
      </c>
      <c r="F328" s="186">
        <v>4.58</v>
      </c>
      <c r="G328" s="186">
        <v>2.4489095779999999</v>
      </c>
    </row>
    <row r="329" spans="1:7" ht="14.4">
      <c r="A329" s="186">
        <v>328</v>
      </c>
      <c r="B329" s="186" t="s">
        <v>241</v>
      </c>
      <c r="C329" s="186" t="s">
        <v>516</v>
      </c>
      <c r="D329" s="186">
        <v>154.30000000000001</v>
      </c>
      <c r="E329" s="186">
        <v>5.17</v>
      </c>
      <c r="F329" s="186">
        <v>4.58</v>
      </c>
      <c r="G329" s="186">
        <v>2.4489095779999999</v>
      </c>
    </row>
    <row r="330" spans="1:7" ht="14.4">
      <c r="A330" s="186">
        <v>329</v>
      </c>
      <c r="B330" s="186" t="s">
        <v>158</v>
      </c>
      <c r="C330" s="186" t="s">
        <v>517</v>
      </c>
      <c r="D330" s="186">
        <v>135</v>
      </c>
      <c r="E330" s="186">
        <v>4.87</v>
      </c>
      <c r="F330" s="186">
        <v>4.58</v>
      </c>
      <c r="G330" s="186">
        <v>2.4489095779999999</v>
      </c>
    </row>
    <row r="331" spans="1:7" ht="14.4">
      <c r="A331" s="186">
        <v>330</v>
      </c>
      <c r="B331" s="186" t="s">
        <v>307</v>
      </c>
      <c r="C331" s="186" t="s">
        <v>518</v>
      </c>
      <c r="D331" s="186">
        <v>67.2</v>
      </c>
      <c r="E331" s="186">
        <v>4.22</v>
      </c>
      <c r="F331" s="186">
        <v>4.58</v>
      </c>
      <c r="G331" s="186">
        <v>2.4489095779999999</v>
      </c>
    </row>
    <row r="332" spans="1:7" ht="14.4">
      <c r="A332" s="186">
        <v>331</v>
      </c>
      <c r="B332" s="186" t="s">
        <v>288</v>
      </c>
      <c r="C332" s="186" t="s">
        <v>519</v>
      </c>
      <c r="D332" s="186">
        <v>2.7</v>
      </c>
      <c r="E332" s="186">
        <v>4.5199999999999996</v>
      </c>
      <c r="F332" s="186">
        <v>4.58</v>
      </c>
      <c r="G332" s="186">
        <v>2.4489095779999999</v>
      </c>
    </row>
    <row r="333" spans="1:7" ht="14.4">
      <c r="A333" s="186">
        <v>332</v>
      </c>
      <c r="B333" s="186" t="s">
        <v>170</v>
      </c>
      <c r="C333" s="186" t="s">
        <v>520</v>
      </c>
      <c r="D333" s="186">
        <v>12.7</v>
      </c>
      <c r="E333" s="186">
        <v>4.87</v>
      </c>
      <c r="F333" s="186">
        <v>4.58</v>
      </c>
      <c r="G333" s="186">
        <v>2.4489095779999999</v>
      </c>
    </row>
    <row r="334" spans="1:7" ht="14.4">
      <c r="A334" s="186">
        <v>333</v>
      </c>
      <c r="B334" s="186" t="s">
        <v>303</v>
      </c>
      <c r="C334" s="186" t="s">
        <v>521</v>
      </c>
      <c r="D334" s="186">
        <v>19.8</v>
      </c>
      <c r="E334" s="186">
        <v>4.6900000000000004</v>
      </c>
      <c r="F334" s="186">
        <v>4.59</v>
      </c>
      <c r="G334" s="186">
        <v>2.453597158</v>
      </c>
    </row>
    <row r="335" spans="1:7" ht="14.4">
      <c r="A335" s="186">
        <v>334</v>
      </c>
      <c r="B335" s="186" t="s">
        <v>309</v>
      </c>
      <c r="C335" s="186" t="s">
        <v>522</v>
      </c>
      <c r="D335" s="186">
        <v>7.8</v>
      </c>
      <c r="E335" s="186" t="s">
        <v>152</v>
      </c>
      <c r="F335" s="186">
        <v>4.59</v>
      </c>
      <c r="G335" s="186">
        <v>2.453597158</v>
      </c>
    </row>
    <row r="336" spans="1:7" ht="14.4">
      <c r="A336" s="186">
        <v>335</v>
      </c>
      <c r="B336" s="186" t="s">
        <v>213</v>
      </c>
      <c r="C336" s="186" t="s">
        <v>523</v>
      </c>
      <c r="D336" s="186">
        <v>5.8</v>
      </c>
      <c r="E336" s="186">
        <v>4.4800000000000004</v>
      </c>
      <c r="F336" s="186">
        <v>4.6100000000000003</v>
      </c>
      <c r="G336" s="186">
        <v>2.4629979020000001</v>
      </c>
    </row>
    <row r="337" spans="1:7" ht="14.4">
      <c r="A337" s="186">
        <v>336</v>
      </c>
      <c r="B337" s="186" t="s">
        <v>271</v>
      </c>
      <c r="C337" s="186" t="s">
        <v>524</v>
      </c>
      <c r="D337" s="186">
        <v>122.8</v>
      </c>
      <c r="E337" s="186">
        <v>4.59</v>
      </c>
      <c r="F337" s="186">
        <v>4.63</v>
      </c>
      <c r="G337" s="186">
        <v>2.4724328569999998</v>
      </c>
    </row>
    <row r="338" spans="1:7" ht="14.4">
      <c r="A338" s="186">
        <v>337</v>
      </c>
      <c r="B338" s="186" t="s">
        <v>146</v>
      </c>
      <c r="C338" s="186" t="s">
        <v>525</v>
      </c>
      <c r="D338" s="186">
        <v>21.9</v>
      </c>
      <c r="E338" s="186">
        <v>4.88</v>
      </c>
      <c r="F338" s="186">
        <v>4.63</v>
      </c>
      <c r="G338" s="186">
        <v>2.4724328569999998</v>
      </c>
    </row>
    <row r="339" spans="1:7" ht="14.4">
      <c r="A339" s="186">
        <v>338</v>
      </c>
      <c r="B339" s="186" t="s">
        <v>138</v>
      </c>
      <c r="C339" s="186" t="s">
        <v>526</v>
      </c>
      <c r="D339" s="186">
        <v>181.5</v>
      </c>
      <c r="E339" s="186">
        <v>4.68</v>
      </c>
      <c r="F339" s="186">
        <v>4.6399999999999997</v>
      </c>
      <c r="G339" s="186">
        <v>2.4771632000000001</v>
      </c>
    </row>
    <row r="340" spans="1:7" ht="14.4">
      <c r="A340" s="186">
        <v>339</v>
      </c>
      <c r="B340" s="186" t="s">
        <v>178</v>
      </c>
      <c r="C340" s="186" t="s">
        <v>527</v>
      </c>
      <c r="D340" s="186">
        <v>19.2</v>
      </c>
      <c r="E340" s="186">
        <v>4.75</v>
      </c>
      <c r="F340" s="186">
        <v>4.6399999999999997</v>
      </c>
      <c r="G340" s="186">
        <v>2.4771632000000001</v>
      </c>
    </row>
    <row r="341" spans="1:7" ht="14.4">
      <c r="A341" s="186">
        <v>340</v>
      </c>
      <c r="B341" s="186" t="s">
        <v>422</v>
      </c>
      <c r="C341" s="186" t="s">
        <v>528</v>
      </c>
      <c r="D341" s="186">
        <v>20.6</v>
      </c>
      <c r="E341" s="186">
        <v>4.8499999999999996</v>
      </c>
      <c r="F341" s="186">
        <v>4.6500000000000004</v>
      </c>
      <c r="G341" s="186">
        <v>2.4819021399999999</v>
      </c>
    </row>
    <row r="342" spans="1:7" ht="14.4">
      <c r="A342" s="186">
        <v>341</v>
      </c>
      <c r="B342" s="186" t="s">
        <v>288</v>
      </c>
      <c r="C342" s="186" t="s">
        <v>529</v>
      </c>
      <c r="D342" s="186">
        <v>42.8</v>
      </c>
      <c r="E342" s="186">
        <v>4.3</v>
      </c>
      <c r="F342" s="186">
        <v>4.6500000000000004</v>
      </c>
      <c r="G342" s="186">
        <v>2.4819021399999999</v>
      </c>
    </row>
    <row r="343" spans="1:7" ht="14.4">
      <c r="A343" s="186">
        <v>342</v>
      </c>
      <c r="B343" s="186" t="s">
        <v>197</v>
      </c>
      <c r="C343" s="186" t="s">
        <v>530</v>
      </c>
      <c r="D343" s="186">
        <v>44.7</v>
      </c>
      <c r="E343" s="186">
        <v>4.71</v>
      </c>
      <c r="F343" s="186">
        <v>4.66</v>
      </c>
      <c r="G343" s="186">
        <v>2.4866496919999999</v>
      </c>
    </row>
    <row r="344" spans="1:7" ht="14.4">
      <c r="A344" s="186">
        <v>343</v>
      </c>
      <c r="B344" s="186" t="s">
        <v>213</v>
      </c>
      <c r="C344" s="186" t="s">
        <v>531</v>
      </c>
      <c r="D344" s="186">
        <v>19.8</v>
      </c>
      <c r="E344" s="186">
        <v>4.5999999999999996</v>
      </c>
      <c r="F344" s="186">
        <v>4.66</v>
      </c>
      <c r="G344" s="186">
        <v>2.4866496919999999</v>
      </c>
    </row>
    <row r="345" spans="1:7" ht="14.4">
      <c r="A345" s="186">
        <v>344</v>
      </c>
      <c r="B345" s="186" t="s">
        <v>178</v>
      </c>
      <c r="C345" s="186" t="s">
        <v>532</v>
      </c>
      <c r="D345" s="186">
        <v>0.1</v>
      </c>
      <c r="E345" s="186">
        <v>4.78</v>
      </c>
      <c r="F345" s="186">
        <v>4.67</v>
      </c>
      <c r="G345" s="186">
        <v>2.4914058699999999</v>
      </c>
    </row>
    <row r="346" spans="1:7" ht="14.4">
      <c r="A346" s="186">
        <v>345</v>
      </c>
      <c r="B346" s="186" t="s">
        <v>288</v>
      </c>
      <c r="C346" s="186" t="s">
        <v>533</v>
      </c>
      <c r="D346" s="186">
        <v>204.9</v>
      </c>
      <c r="E346" s="186">
        <v>4.6100000000000003</v>
      </c>
      <c r="F346" s="186">
        <v>4.67</v>
      </c>
      <c r="G346" s="186">
        <v>2.4914058699999999</v>
      </c>
    </row>
    <row r="347" spans="1:7" ht="14.4">
      <c r="A347" s="186">
        <v>346</v>
      </c>
      <c r="B347" s="186" t="s">
        <v>451</v>
      </c>
      <c r="C347" s="186" t="s">
        <v>534</v>
      </c>
      <c r="D347" s="186">
        <v>162.19999999999999</v>
      </c>
      <c r="E347" s="186">
        <v>4.58</v>
      </c>
      <c r="F347" s="186">
        <v>4.67</v>
      </c>
      <c r="G347" s="186">
        <v>2.4914058699999999</v>
      </c>
    </row>
    <row r="348" spans="1:7" ht="14.4">
      <c r="A348" s="186">
        <v>347</v>
      </c>
      <c r="B348" s="186" t="s">
        <v>178</v>
      </c>
      <c r="C348" s="186" t="s">
        <v>535</v>
      </c>
      <c r="D348" s="186">
        <v>0.1</v>
      </c>
      <c r="E348" s="186">
        <v>4.63</v>
      </c>
      <c r="F348" s="186">
        <v>4.68</v>
      </c>
      <c r="G348" s="186">
        <v>2.49617069</v>
      </c>
    </row>
    <row r="349" spans="1:7" ht="14.4">
      <c r="A349" s="186">
        <v>348</v>
      </c>
      <c r="B349" s="186" t="s">
        <v>536</v>
      </c>
      <c r="C349" s="186" t="s">
        <v>537</v>
      </c>
      <c r="D349" s="186">
        <v>170</v>
      </c>
      <c r="E349" s="186">
        <v>4.58</v>
      </c>
      <c r="F349" s="186">
        <v>4.68</v>
      </c>
      <c r="G349" s="186">
        <v>2.49617069</v>
      </c>
    </row>
    <row r="350" spans="1:7" ht="14.4">
      <c r="A350" s="186">
        <v>349</v>
      </c>
      <c r="B350" s="186" t="s">
        <v>213</v>
      </c>
      <c r="C350" s="186" t="s">
        <v>538</v>
      </c>
      <c r="D350" s="186">
        <v>11.4</v>
      </c>
      <c r="E350" s="186">
        <v>4.62</v>
      </c>
      <c r="F350" s="186">
        <v>4.68</v>
      </c>
      <c r="G350" s="186">
        <v>2.49617069</v>
      </c>
    </row>
    <row r="351" spans="1:7" ht="14.4">
      <c r="A351" s="186">
        <v>350</v>
      </c>
      <c r="B351" s="186" t="s">
        <v>539</v>
      </c>
      <c r="C351" s="186" t="s">
        <v>540</v>
      </c>
      <c r="D351" s="186">
        <v>31.5</v>
      </c>
      <c r="E351" s="186">
        <v>5.03</v>
      </c>
      <c r="F351" s="186">
        <v>4.6900000000000004</v>
      </c>
      <c r="G351" s="186">
        <v>2.500944166</v>
      </c>
    </row>
    <row r="352" spans="1:7" ht="14.4">
      <c r="A352" s="186">
        <v>351</v>
      </c>
      <c r="B352" s="186" t="s">
        <v>158</v>
      </c>
      <c r="C352" s="186" t="s">
        <v>541</v>
      </c>
      <c r="D352" s="186">
        <v>372.3</v>
      </c>
      <c r="E352" s="186">
        <v>4.17</v>
      </c>
      <c r="F352" s="186">
        <v>4.6900000000000004</v>
      </c>
      <c r="G352" s="186">
        <v>2.500944166</v>
      </c>
    </row>
    <row r="353" spans="1:7" ht="14.4">
      <c r="A353" s="186">
        <v>352</v>
      </c>
      <c r="B353" s="186" t="s">
        <v>175</v>
      </c>
      <c r="C353" s="186" t="s">
        <v>542</v>
      </c>
      <c r="D353" s="186">
        <v>91.7</v>
      </c>
      <c r="E353" s="186">
        <v>5.12</v>
      </c>
      <c r="F353" s="186">
        <v>4.7</v>
      </c>
      <c r="G353" s="186">
        <v>2.5057263129999998</v>
      </c>
    </row>
    <row r="354" spans="1:7" ht="14.4">
      <c r="A354" s="186">
        <v>353</v>
      </c>
      <c r="B354" s="186" t="s">
        <v>365</v>
      </c>
      <c r="C354" s="186" t="s">
        <v>543</v>
      </c>
      <c r="D354" s="186">
        <v>68</v>
      </c>
      <c r="E354" s="186">
        <v>4.6900000000000004</v>
      </c>
      <c r="F354" s="186">
        <v>4.7</v>
      </c>
      <c r="G354" s="186">
        <v>2.5057263129999998</v>
      </c>
    </row>
    <row r="355" spans="1:7" ht="14.4">
      <c r="A355" s="186">
        <v>354</v>
      </c>
      <c r="B355" s="186" t="s">
        <v>146</v>
      </c>
      <c r="C355" s="186" t="s">
        <v>544</v>
      </c>
      <c r="D355" s="186">
        <v>15.7</v>
      </c>
      <c r="E355" s="186">
        <v>5.09</v>
      </c>
      <c r="F355" s="186">
        <v>4.7</v>
      </c>
      <c r="G355" s="186">
        <v>2.5057263129999998</v>
      </c>
    </row>
    <row r="356" spans="1:7" ht="14.4">
      <c r="A356" s="186">
        <v>355</v>
      </c>
      <c r="B356" s="186" t="s">
        <v>545</v>
      </c>
      <c r="C356" s="186" t="s">
        <v>546</v>
      </c>
      <c r="D356" s="186">
        <v>14.5</v>
      </c>
      <c r="E356" s="186">
        <v>4.78</v>
      </c>
      <c r="F356" s="186">
        <v>4.7</v>
      </c>
      <c r="G356" s="186">
        <v>2.5057263129999998</v>
      </c>
    </row>
    <row r="357" spans="1:7" ht="14.4">
      <c r="A357" s="186">
        <v>356</v>
      </c>
      <c r="B357" s="186" t="s">
        <v>547</v>
      </c>
      <c r="C357" s="186" t="s">
        <v>548</v>
      </c>
      <c r="D357" s="186">
        <v>81.900000000000006</v>
      </c>
      <c r="E357" s="186">
        <v>4.8</v>
      </c>
      <c r="F357" s="186">
        <v>4.7</v>
      </c>
      <c r="G357" s="186">
        <v>2.5057263129999998</v>
      </c>
    </row>
    <row r="358" spans="1:7" ht="14.4">
      <c r="A358" s="186">
        <v>357</v>
      </c>
      <c r="B358" s="186" t="s">
        <v>241</v>
      </c>
      <c r="C358" s="186" t="s">
        <v>549</v>
      </c>
      <c r="D358" s="186">
        <v>1.3</v>
      </c>
      <c r="E358" s="186">
        <v>4.96</v>
      </c>
      <c r="F358" s="186">
        <v>4.71</v>
      </c>
      <c r="G358" s="186">
        <v>2.5105171460000002</v>
      </c>
    </row>
    <row r="359" spans="1:7" ht="14.4">
      <c r="A359" s="186">
        <v>358</v>
      </c>
      <c r="B359" s="186" t="s">
        <v>178</v>
      </c>
      <c r="C359" s="186" t="s">
        <v>550</v>
      </c>
      <c r="D359" s="186">
        <v>319</v>
      </c>
      <c r="E359" s="186">
        <v>4.4800000000000004</v>
      </c>
      <c r="F359" s="186">
        <v>4.71</v>
      </c>
      <c r="G359" s="186">
        <v>2.5105171460000002</v>
      </c>
    </row>
    <row r="360" spans="1:7" ht="14.4">
      <c r="A360" s="186">
        <v>359</v>
      </c>
      <c r="B360" s="186" t="s">
        <v>551</v>
      </c>
      <c r="C360" s="186" t="s">
        <v>552</v>
      </c>
      <c r="D360" s="186">
        <v>26.7</v>
      </c>
      <c r="E360" s="186">
        <v>4.97</v>
      </c>
      <c r="F360" s="186">
        <v>4.71</v>
      </c>
      <c r="G360" s="186">
        <v>2.5105171460000002</v>
      </c>
    </row>
    <row r="361" spans="1:7" ht="14.4">
      <c r="A361" s="186">
        <v>360</v>
      </c>
      <c r="B361" s="186" t="s">
        <v>553</v>
      </c>
      <c r="C361" s="186" t="s">
        <v>554</v>
      </c>
      <c r="D361" s="186">
        <v>15.9</v>
      </c>
      <c r="E361" s="186">
        <v>4.76</v>
      </c>
      <c r="F361" s="186">
        <v>4.71</v>
      </c>
      <c r="G361" s="186">
        <v>2.5105171460000002</v>
      </c>
    </row>
    <row r="362" spans="1:7" ht="14.4">
      <c r="A362" s="186">
        <v>361</v>
      </c>
      <c r="B362" s="186" t="s">
        <v>488</v>
      </c>
      <c r="C362" s="186" t="s">
        <v>555</v>
      </c>
      <c r="D362" s="186">
        <v>57.7</v>
      </c>
      <c r="E362" s="186">
        <v>5.16</v>
      </c>
      <c r="F362" s="186">
        <v>4.71</v>
      </c>
      <c r="G362" s="186">
        <v>2.5105171460000002</v>
      </c>
    </row>
    <row r="363" spans="1:7" ht="14.4">
      <c r="A363" s="186">
        <v>362</v>
      </c>
      <c r="B363" s="186" t="s">
        <v>213</v>
      </c>
      <c r="C363" s="186" t="s">
        <v>556</v>
      </c>
      <c r="D363" s="186">
        <v>7.4</v>
      </c>
      <c r="E363" s="186">
        <v>4.83</v>
      </c>
      <c r="F363" s="186">
        <v>4.71</v>
      </c>
      <c r="G363" s="186">
        <v>2.5105171460000002</v>
      </c>
    </row>
    <row r="364" spans="1:7" ht="14.4">
      <c r="A364" s="186">
        <v>363</v>
      </c>
      <c r="B364" s="186" t="s">
        <v>180</v>
      </c>
      <c r="C364" s="186" t="s">
        <v>557</v>
      </c>
      <c r="D364" s="186">
        <v>4.4000000000000004</v>
      </c>
      <c r="E364" s="186">
        <v>5.27</v>
      </c>
      <c r="F364" s="186">
        <v>4.72</v>
      </c>
      <c r="G364" s="186">
        <v>2.5153166800000002</v>
      </c>
    </row>
    <row r="365" spans="1:7" ht="14.4">
      <c r="A365" s="186">
        <v>364</v>
      </c>
      <c r="B365" s="186" t="s">
        <v>213</v>
      </c>
      <c r="C365" s="186" t="s">
        <v>558</v>
      </c>
      <c r="D365" s="186">
        <v>18.2</v>
      </c>
      <c r="E365" s="186">
        <v>4.87</v>
      </c>
      <c r="F365" s="186">
        <v>4.72</v>
      </c>
      <c r="G365" s="186">
        <v>2.5153166800000002</v>
      </c>
    </row>
    <row r="366" spans="1:7" ht="14.4">
      <c r="A366" s="186">
        <v>365</v>
      </c>
      <c r="B366" s="186" t="s">
        <v>138</v>
      </c>
      <c r="C366" s="186" t="s">
        <v>559</v>
      </c>
      <c r="D366" s="186">
        <v>4.4000000000000004</v>
      </c>
      <c r="E366" s="186">
        <v>5.17</v>
      </c>
      <c r="F366" s="186">
        <v>4.7300000000000004</v>
      </c>
      <c r="G366" s="186">
        <v>2.5201249309999998</v>
      </c>
    </row>
    <row r="367" spans="1:7" ht="14.4">
      <c r="A367" s="186">
        <v>366</v>
      </c>
      <c r="B367" s="186" t="s">
        <v>122</v>
      </c>
      <c r="C367" s="186" t="s">
        <v>560</v>
      </c>
      <c r="D367" s="187">
        <v>1032.2</v>
      </c>
      <c r="E367" s="186">
        <v>5.19</v>
      </c>
      <c r="F367" s="186">
        <v>4.7300000000000004</v>
      </c>
      <c r="G367" s="186">
        <v>2.5201249309999998</v>
      </c>
    </row>
    <row r="368" spans="1:7" ht="14.4">
      <c r="A368" s="186">
        <v>367</v>
      </c>
      <c r="B368" s="186" t="s">
        <v>263</v>
      </c>
      <c r="C368" s="186" t="s">
        <v>561</v>
      </c>
      <c r="D368" s="186">
        <v>353.7</v>
      </c>
      <c r="E368" s="186">
        <v>4.7300000000000004</v>
      </c>
      <c r="F368" s="186">
        <v>4.7300000000000004</v>
      </c>
      <c r="G368" s="186">
        <v>2.5201249309999998</v>
      </c>
    </row>
    <row r="369" spans="1:7" ht="14.4">
      <c r="A369" s="186">
        <v>368</v>
      </c>
      <c r="B369" s="186" t="s">
        <v>293</v>
      </c>
      <c r="C369" s="186" t="s">
        <v>562</v>
      </c>
      <c r="D369" s="186">
        <v>34</v>
      </c>
      <c r="E369" s="186">
        <v>4.45</v>
      </c>
      <c r="F369" s="186">
        <v>4.7300000000000004</v>
      </c>
      <c r="G369" s="186">
        <v>2.5201249309999998</v>
      </c>
    </row>
    <row r="370" spans="1:7" ht="14.4">
      <c r="A370" s="186">
        <v>369</v>
      </c>
      <c r="B370" s="186" t="s">
        <v>175</v>
      </c>
      <c r="C370" s="186" t="s">
        <v>563</v>
      </c>
      <c r="D370" s="186">
        <v>47.7</v>
      </c>
      <c r="E370" s="186">
        <v>4.9800000000000004</v>
      </c>
      <c r="F370" s="186">
        <v>4.74</v>
      </c>
      <c r="G370" s="186">
        <v>2.5249419120000001</v>
      </c>
    </row>
    <row r="371" spans="1:7" ht="14.4">
      <c r="A371" s="186">
        <v>370</v>
      </c>
      <c r="B371" s="186" t="s">
        <v>175</v>
      </c>
      <c r="C371" s="186" t="s">
        <v>564</v>
      </c>
      <c r="D371" s="186">
        <v>5.8</v>
      </c>
      <c r="E371" s="186">
        <v>4.5</v>
      </c>
      <c r="F371" s="186">
        <v>4.74</v>
      </c>
      <c r="G371" s="186">
        <v>2.5249419120000001</v>
      </c>
    </row>
    <row r="372" spans="1:7" ht="14.4">
      <c r="A372" s="186">
        <v>371</v>
      </c>
      <c r="B372" s="186" t="s">
        <v>565</v>
      </c>
      <c r="C372" s="186" t="s">
        <v>566</v>
      </c>
      <c r="D372" s="186">
        <v>139.5</v>
      </c>
      <c r="E372" s="186">
        <v>4.9000000000000004</v>
      </c>
      <c r="F372" s="186">
        <v>4.74</v>
      </c>
      <c r="G372" s="186">
        <v>2.5249419120000001</v>
      </c>
    </row>
    <row r="373" spans="1:7" ht="14.4">
      <c r="A373" s="186">
        <v>372</v>
      </c>
      <c r="B373" s="186" t="s">
        <v>146</v>
      </c>
      <c r="C373" s="186" t="s">
        <v>567</v>
      </c>
      <c r="D373" s="186">
        <v>332.4</v>
      </c>
      <c r="E373" s="186">
        <v>4.63</v>
      </c>
      <c r="F373" s="186">
        <v>4.75</v>
      </c>
      <c r="G373" s="186">
        <v>2.5297676390000001</v>
      </c>
    </row>
    <row r="374" spans="1:7" ht="14.4">
      <c r="A374" s="186">
        <v>373</v>
      </c>
      <c r="B374" s="186" t="s">
        <v>348</v>
      </c>
      <c r="C374" s="186" t="s">
        <v>568</v>
      </c>
      <c r="D374" s="187">
        <v>1708</v>
      </c>
      <c r="E374" s="186">
        <v>4.49</v>
      </c>
      <c r="F374" s="186">
        <v>4.75</v>
      </c>
      <c r="G374" s="186">
        <v>2.5297676390000001</v>
      </c>
    </row>
    <row r="375" spans="1:7" ht="14.4">
      <c r="A375" s="186">
        <v>374</v>
      </c>
      <c r="B375" s="186" t="s">
        <v>340</v>
      </c>
      <c r="C375" s="186" t="s">
        <v>569</v>
      </c>
      <c r="D375" s="186">
        <v>106.4</v>
      </c>
      <c r="E375" s="186">
        <v>4.42</v>
      </c>
      <c r="F375" s="186">
        <v>4.75</v>
      </c>
      <c r="G375" s="186">
        <v>2.5297676390000001</v>
      </c>
    </row>
    <row r="376" spans="1:7" ht="14.4">
      <c r="A376" s="186">
        <v>375</v>
      </c>
      <c r="B376" s="186" t="s">
        <v>241</v>
      </c>
      <c r="C376" s="186" t="s">
        <v>570</v>
      </c>
      <c r="D376" s="186">
        <v>27.4</v>
      </c>
      <c r="E376" s="186">
        <v>5.01</v>
      </c>
      <c r="F376" s="186">
        <v>4.76</v>
      </c>
      <c r="G376" s="186">
        <v>2.5346021269999999</v>
      </c>
    </row>
    <row r="377" spans="1:7" ht="14.4">
      <c r="A377" s="186">
        <v>376</v>
      </c>
      <c r="B377" s="186" t="s">
        <v>571</v>
      </c>
      <c r="C377" s="186" t="s">
        <v>572</v>
      </c>
      <c r="D377" s="186">
        <v>760.6</v>
      </c>
      <c r="E377" s="186">
        <v>5.15</v>
      </c>
      <c r="F377" s="186">
        <v>4.76</v>
      </c>
      <c r="G377" s="186">
        <v>2.5346021269999999</v>
      </c>
    </row>
    <row r="378" spans="1:7" ht="14.4">
      <c r="A378" s="186">
        <v>377</v>
      </c>
      <c r="B378" s="186" t="s">
        <v>124</v>
      </c>
      <c r="C378" s="186" t="s">
        <v>573</v>
      </c>
      <c r="D378" s="186">
        <v>18.8</v>
      </c>
      <c r="E378" s="186">
        <v>5.19</v>
      </c>
      <c r="F378" s="186">
        <v>4.76</v>
      </c>
      <c r="G378" s="186">
        <v>2.5346021269999999</v>
      </c>
    </row>
    <row r="379" spans="1:7" ht="14.4">
      <c r="A379" s="186">
        <v>378</v>
      </c>
      <c r="B379" s="186" t="s">
        <v>146</v>
      </c>
      <c r="C379" s="186" t="s">
        <v>574</v>
      </c>
      <c r="D379" s="186">
        <v>0.3</v>
      </c>
      <c r="E379" s="186">
        <v>4.93</v>
      </c>
      <c r="F379" s="186">
        <v>4.76</v>
      </c>
      <c r="G379" s="186">
        <v>2.5346021269999999</v>
      </c>
    </row>
    <row r="380" spans="1:7" ht="14.4">
      <c r="A380" s="186">
        <v>379</v>
      </c>
      <c r="B380" s="186" t="s">
        <v>213</v>
      </c>
      <c r="C380" s="186" t="s">
        <v>575</v>
      </c>
      <c r="D380" s="186">
        <v>28.1</v>
      </c>
      <c r="E380" s="186">
        <v>4.9000000000000004</v>
      </c>
      <c r="F380" s="186">
        <v>4.76</v>
      </c>
      <c r="G380" s="186">
        <v>2.5346021269999999</v>
      </c>
    </row>
    <row r="381" spans="1:7" ht="14.4">
      <c r="A381" s="186">
        <v>380</v>
      </c>
      <c r="B381" s="186" t="s">
        <v>565</v>
      </c>
      <c r="C381" s="186" t="s">
        <v>576</v>
      </c>
      <c r="D381" s="187">
        <v>1863.5</v>
      </c>
      <c r="E381" s="186">
        <v>5.15</v>
      </c>
      <c r="F381" s="186">
        <v>4.76</v>
      </c>
      <c r="G381" s="186">
        <v>2.5346021269999999</v>
      </c>
    </row>
    <row r="382" spans="1:7" ht="14.4">
      <c r="A382" s="186">
        <v>381</v>
      </c>
      <c r="B382" s="186" t="s">
        <v>162</v>
      </c>
      <c r="C382" s="186" t="s">
        <v>577</v>
      </c>
      <c r="D382" s="186">
        <v>99.4</v>
      </c>
      <c r="E382" s="186">
        <v>4.4400000000000004</v>
      </c>
      <c r="F382" s="186">
        <v>4.7699999999999996</v>
      </c>
      <c r="G382" s="186">
        <v>2.5394453920000002</v>
      </c>
    </row>
    <row r="383" spans="1:7" ht="14.4">
      <c r="A383" s="186">
        <v>382</v>
      </c>
      <c r="B383" s="186" t="s">
        <v>146</v>
      </c>
      <c r="C383" s="186" t="s">
        <v>578</v>
      </c>
      <c r="D383" s="186">
        <v>8.1</v>
      </c>
      <c r="E383" s="186" t="s">
        <v>152</v>
      </c>
      <c r="F383" s="186">
        <v>4.7699999999999996</v>
      </c>
      <c r="G383" s="186">
        <v>2.5394453920000002</v>
      </c>
    </row>
    <row r="384" spans="1:7" ht="14.4">
      <c r="A384" s="186">
        <v>383</v>
      </c>
      <c r="B384" s="186" t="s">
        <v>579</v>
      </c>
      <c r="C384" s="186" t="s">
        <v>580</v>
      </c>
      <c r="D384" s="186">
        <v>277.2</v>
      </c>
      <c r="E384" s="186">
        <v>5.51</v>
      </c>
      <c r="F384" s="186">
        <v>4.78</v>
      </c>
      <c r="G384" s="186">
        <v>2.544297448</v>
      </c>
    </row>
    <row r="385" spans="1:7" ht="14.4">
      <c r="A385" s="186">
        <v>384</v>
      </c>
      <c r="B385" s="186" t="s">
        <v>335</v>
      </c>
      <c r="C385" s="186" t="s">
        <v>581</v>
      </c>
      <c r="D385" s="186">
        <v>2.8</v>
      </c>
      <c r="E385" s="186">
        <v>5.0999999999999996</v>
      </c>
      <c r="F385" s="186">
        <v>4.78</v>
      </c>
      <c r="G385" s="186">
        <v>2.544297448</v>
      </c>
    </row>
    <row r="386" spans="1:7" ht="14.4">
      <c r="A386" s="186">
        <v>385</v>
      </c>
      <c r="B386" s="186" t="s">
        <v>553</v>
      </c>
      <c r="C386" s="186" t="s">
        <v>582</v>
      </c>
      <c r="D386" s="186">
        <v>197.6</v>
      </c>
      <c r="E386" s="186">
        <v>4.91</v>
      </c>
      <c r="F386" s="186">
        <v>4.79</v>
      </c>
      <c r="G386" s="186">
        <v>2.5491583090000001</v>
      </c>
    </row>
    <row r="387" spans="1:7" ht="14.4">
      <c r="A387" s="186">
        <v>386</v>
      </c>
      <c r="B387" s="186" t="s">
        <v>213</v>
      </c>
      <c r="C387" s="186" t="s">
        <v>583</v>
      </c>
      <c r="D387" s="186">
        <v>3.9</v>
      </c>
      <c r="E387" s="186">
        <v>4.93</v>
      </c>
      <c r="F387" s="186">
        <v>4.79</v>
      </c>
      <c r="G387" s="186">
        <v>2.5491583090000001</v>
      </c>
    </row>
    <row r="388" spans="1:7" ht="14.4">
      <c r="A388" s="186">
        <v>387</v>
      </c>
      <c r="B388" s="186" t="s">
        <v>340</v>
      </c>
      <c r="C388" s="186" t="s">
        <v>584</v>
      </c>
      <c r="D388" s="186">
        <v>232.1</v>
      </c>
      <c r="E388" s="186">
        <v>5.04</v>
      </c>
      <c r="F388" s="186">
        <v>4.79</v>
      </c>
      <c r="G388" s="186">
        <v>2.5491583090000001</v>
      </c>
    </row>
    <row r="389" spans="1:7" ht="14.4">
      <c r="A389" s="186">
        <v>388</v>
      </c>
      <c r="B389" s="186" t="s">
        <v>178</v>
      </c>
      <c r="C389" s="186" t="s">
        <v>585</v>
      </c>
      <c r="D389" s="186">
        <v>22.6</v>
      </c>
      <c r="E389" s="186">
        <v>4.88</v>
      </c>
      <c r="F389" s="186">
        <v>4.8</v>
      </c>
      <c r="G389" s="186">
        <v>2.5540279930000001</v>
      </c>
    </row>
    <row r="390" spans="1:7" ht="14.4">
      <c r="A390" s="186">
        <v>389</v>
      </c>
      <c r="B390" s="186" t="s">
        <v>153</v>
      </c>
      <c r="C390" s="186" t="s">
        <v>586</v>
      </c>
      <c r="D390" s="186">
        <v>531.9</v>
      </c>
      <c r="E390" s="186">
        <v>4.66</v>
      </c>
      <c r="F390" s="186">
        <v>4.8</v>
      </c>
      <c r="G390" s="186">
        <v>2.5540279930000001</v>
      </c>
    </row>
    <row r="391" spans="1:7" ht="14.4">
      <c r="A391" s="186">
        <v>390</v>
      </c>
      <c r="B391" s="186" t="s">
        <v>133</v>
      </c>
      <c r="C391" s="186" t="s">
        <v>587</v>
      </c>
      <c r="D391" s="186">
        <v>735</v>
      </c>
      <c r="E391" s="186">
        <v>4.7</v>
      </c>
      <c r="F391" s="186">
        <v>4.8</v>
      </c>
      <c r="G391" s="186">
        <v>2.5540279930000001</v>
      </c>
    </row>
    <row r="392" spans="1:7" ht="14.4">
      <c r="A392" s="186">
        <v>391</v>
      </c>
      <c r="B392" s="186" t="s">
        <v>335</v>
      </c>
      <c r="C392" s="186" t="s">
        <v>588</v>
      </c>
      <c r="D392" s="186">
        <v>205.3</v>
      </c>
      <c r="E392" s="186">
        <v>4.63</v>
      </c>
      <c r="F392" s="186">
        <v>4.8099999999999996</v>
      </c>
      <c r="G392" s="186">
        <v>2.5589065130000002</v>
      </c>
    </row>
    <row r="393" spans="1:7" ht="14.4">
      <c r="A393" s="186">
        <v>392</v>
      </c>
      <c r="B393" s="186" t="s">
        <v>138</v>
      </c>
      <c r="C393" s="186" t="s">
        <v>589</v>
      </c>
      <c r="D393" s="186">
        <v>77.599999999999994</v>
      </c>
      <c r="E393" s="186">
        <v>4.55</v>
      </c>
      <c r="F393" s="186">
        <v>4.82</v>
      </c>
      <c r="G393" s="186">
        <v>2.5637938849999999</v>
      </c>
    </row>
    <row r="394" spans="1:7" ht="14.4">
      <c r="A394" s="186">
        <v>393</v>
      </c>
      <c r="B394" s="186" t="s">
        <v>422</v>
      </c>
      <c r="C394" s="186" t="s">
        <v>590</v>
      </c>
      <c r="D394" s="186">
        <v>51.3</v>
      </c>
      <c r="E394" s="186">
        <v>4.96</v>
      </c>
      <c r="F394" s="186">
        <v>4.82</v>
      </c>
      <c r="G394" s="186">
        <v>2.5637938849999999</v>
      </c>
    </row>
    <row r="395" spans="1:7" ht="14.4">
      <c r="A395" s="186">
        <v>394</v>
      </c>
      <c r="B395" s="186" t="s">
        <v>362</v>
      </c>
      <c r="C395" s="186" t="s">
        <v>591</v>
      </c>
      <c r="D395" s="186">
        <v>380.4</v>
      </c>
      <c r="E395" s="186">
        <v>4.6500000000000004</v>
      </c>
      <c r="F395" s="186">
        <v>4.83</v>
      </c>
      <c r="G395" s="186">
        <v>2.5686901240000002</v>
      </c>
    </row>
    <row r="396" spans="1:7" ht="14.4">
      <c r="A396" s="186">
        <v>395</v>
      </c>
      <c r="B396" s="186" t="s">
        <v>263</v>
      </c>
      <c r="C396" s="186" t="s">
        <v>592</v>
      </c>
      <c r="D396" s="186">
        <v>31</v>
      </c>
      <c r="E396" s="186">
        <v>4.8499999999999996</v>
      </c>
      <c r="F396" s="186">
        <v>4.83</v>
      </c>
      <c r="G396" s="186">
        <v>2.5686901240000002</v>
      </c>
    </row>
    <row r="397" spans="1:7" ht="14.4">
      <c r="A397" s="186">
        <v>396</v>
      </c>
      <c r="B397" s="186" t="s">
        <v>335</v>
      </c>
      <c r="C397" s="186" t="s">
        <v>593</v>
      </c>
      <c r="D397" s="186">
        <v>114.3</v>
      </c>
      <c r="E397" s="186">
        <v>5.15</v>
      </c>
      <c r="F397" s="186">
        <v>4.83</v>
      </c>
      <c r="G397" s="186">
        <v>2.5686901240000002</v>
      </c>
    </row>
    <row r="398" spans="1:7" ht="14.4">
      <c r="A398" s="186">
        <v>397</v>
      </c>
      <c r="B398" s="186" t="s">
        <v>303</v>
      </c>
      <c r="C398" s="186" t="s">
        <v>594</v>
      </c>
      <c r="D398" s="186">
        <v>278.89999999999998</v>
      </c>
      <c r="E398" s="186">
        <v>5.24</v>
      </c>
      <c r="F398" s="186">
        <v>4.84</v>
      </c>
      <c r="G398" s="186">
        <v>2.5735952449999999</v>
      </c>
    </row>
    <row r="399" spans="1:7" ht="14.4">
      <c r="A399" s="186">
        <v>398</v>
      </c>
      <c r="B399" s="186" t="s">
        <v>362</v>
      </c>
      <c r="C399" s="186" t="s">
        <v>595</v>
      </c>
      <c r="D399" s="186">
        <v>3</v>
      </c>
      <c r="E399" s="186">
        <v>4.87</v>
      </c>
      <c r="F399" s="186">
        <v>4.84</v>
      </c>
      <c r="G399" s="186">
        <v>2.5735952449999999</v>
      </c>
    </row>
    <row r="400" spans="1:7" ht="14.4">
      <c r="A400" s="186">
        <v>399</v>
      </c>
      <c r="B400" s="186" t="s">
        <v>373</v>
      </c>
      <c r="C400" s="186" t="s">
        <v>596</v>
      </c>
      <c r="D400" s="186">
        <v>149.69999999999999</v>
      </c>
      <c r="E400" s="186">
        <v>4.91</v>
      </c>
      <c r="F400" s="186">
        <v>4.84</v>
      </c>
      <c r="G400" s="186">
        <v>2.5735952449999999</v>
      </c>
    </row>
    <row r="401" spans="1:7" ht="14.4">
      <c r="A401" s="186">
        <v>400</v>
      </c>
      <c r="B401" s="186" t="s">
        <v>271</v>
      </c>
      <c r="C401" s="186" t="s">
        <v>597</v>
      </c>
      <c r="D401" s="186">
        <v>69.900000000000006</v>
      </c>
      <c r="E401" s="186">
        <v>4.6900000000000004</v>
      </c>
      <c r="F401" s="186">
        <v>4.8499999999999996</v>
      </c>
      <c r="G401" s="186">
        <v>2.578509264</v>
      </c>
    </row>
    <row r="402" spans="1:7" ht="14.4">
      <c r="A402" s="186">
        <v>401</v>
      </c>
      <c r="B402" s="186" t="s">
        <v>162</v>
      </c>
      <c r="C402" s="186" t="s">
        <v>598</v>
      </c>
      <c r="D402" s="186">
        <v>48.2</v>
      </c>
      <c r="E402" s="186">
        <v>4.7300000000000004</v>
      </c>
      <c r="F402" s="186">
        <v>4.8499999999999996</v>
      </c>
      <c r="G402" s="186">
        <v>2.578509264</v>
      </c>
    </row>
    <row r="403" spans="1:7" ht="14.4">
      <c r="A403" s="186">
        <v>402</v>
      </c>
      <c r="B403" s="186" t="s">
        <v>175</v>
      </c>
      <c r="C403" s="186" t="s">
        <v>599</v>
      </c>
      <c r="D403" s="187">
        <v>1703.9</v>
      </c>
      <c r="E403" s="186">
        <v>5.0999999999999996</v>
      </c>
      <c r="F403" s="186">
        <v>4.8499999999999996</v>
      </c>
      <c r="G403" s="186">
        <v>2.578509264</v>
      </c>
    </row>
    <row r="404" spans="1:7" ht="14.4">
      <c r="A404" s="186">
        <v>403</v>
      </c>
      <c r="B404" s="186" t="s">
        <v>146</v>
      </c>
      <c r="C404" s="186" t="s">
        <v>600</v>
      </c>
      <c r="D404" s="186">
        <v>321.10000000000002</v>
      </c>
      <c r="E404" s="186">
        <v>5.03</v>
      </c>
      <c r="F404" s="186">
        <v>4.8499999999999996</v>
      </c>
      <c r="G404" s="186">
        <v>2.578509264</v>
      </c>
    </row>
    <row r="405" spans="1:7" ht="14.4">
      <c r="A405" s="186">
        <v>404</v>
      </c>
      <c r="B405" s="186" t="s">
        <v>213</v>
      </c>
      <c r="C405" s="186" t="s">
        <v>601</v>
      </c>
      <c r="D405" s="186">
        <v>1.5</v>
      </c>
      <c r="E405" s="186">
        <v>5.18</v>
      </c>
      <c r="F405" s="186">
        <v>4.8499999999999996</v>
      </c>
      <c r="G405" s="186">
        <v>2.578509264</v>
      </c>
    </row>
    <row r="406" spans="1:7" ht="14.4">
      <c r="A406" s="186">
        <v>405</v>
      </c>
      <c r="B406" s="186" t="s">
        <v>602</v>
      </c>
      <c r="C406" s="186" t="s">
        <v>603</v>
      </c>
      <c r="D406" s="186">
        <v>184.1</v>
      </c>
      <c r="E406" s="186">
        <v>4.87</v>
      </c>
      <c r="F406" s="186">
        <v>4.8600000000000003</v>
      </c>
      <c r="G406" s="186">
        <v>2.5834321949999999</v>
      </c>
    </row>
    <row r="407" spans="1:7" ht="14.4">
      <c r="A407" s="186">
        <v>406</v>
      </c>
      <c r="B407" s="186" t="s">
        <v>365</v>
      </c>
      <c r="C407" s="186" t="s">
        <v>604</v>
      </c>
      <c r="D407" s="186">
        <v>521.20000000000005</v>
      </c>
      <c r="E407" s="186">
        <v>4.55</v>
      </c>
      <c r="F407" s="186">
        <v>4.8600000000000003</v>
      </c>
      <c r="G407" s="186">
        <v>2.5834321949999999</v>
      </c>
    </row>
    <row r="408" spans="1:7" ht="14.4">
      <c r="A408" s="186">
        <v>407</v>
      </c>
      <c r="B408" s="186" t="s">
        <v>146</v>
      </c>
      <c r="C408" s="186" t="s">
        <v>605</v>
      </c>
      <c r="D408" s="186">
        <v>21</v>
      </c>
      <c r="E408" s="186">
        <v>5.05</v>
      </c>
      <c r="F408" s="186">
        <v>4.8600000000000003</v>
      </c>
      <c r="G408" s="186">
        <v>2.5834321949999999</v>
      </c>
    </row>
    <row r="409" spans="1:7" ht="14.4">
      <c r="A409" s="186">
        <v>408</v>
      </c>
      <c r="B409" s="186" t="s">
        <v>243</v>
      </c>
      <c r="C409" s="186" t="s">
        <v>606</v>
      </c>
      <c r="D409" s="186">
        <v>3</v>
      </c>
      <c r="E409" s="186">
        <v>5.1100000000000003</v>
      </c>
      <c r="F409" s="186">
        <v>4.8600000000000003</v>
      </c>
      <c r="G409" s="186">
        <v>2.5834321949999999</v>
      </c>
    </row>
    <row r="410" spans="1:7" ht="14.4">
      <c r="A410" s="186">
        <v>409</v>
      </c>
      <c r="B410" s="186" t="s">
        <v>373</v>
      </c>
      <c r="C410" s="186" t="s">
        <v>607</v>
      </c>
      <c r="D410" s="186">
        <v>46.8</v>
      </c>
      <c r="E410" s="186">
        <v>4.9400000000000004</v>
      </c>
      <c r="F410" s="186">
        <v>4.87</v>
      </c>
      <c r="G410" s="186">
        <v>2.588364055</v>
      </c>
    </row>
    <row r="411" spans="1:7" ht="14.4">
      <c r="A411" s="186">
        <v>410</v>
      </c>
      <c r="B411" s="186" t="s">
        <v>168</v>
      </c>
      <c r="C411" s="186" t="s">
        <v>608</v>
      </c>
      <c r="D411" s="186">
        <v>14.8</v>
      </c>
      <c r="E411" s="186">
        <v>4.68</v>
      </c>
      <c r="F411" s="186">
        <v>4.87</v>
      </c>
      <c r="G411" s="186">
        <v>2.588364055</v>
      </c>
    </row>
    <row r="412" spans="1:7" ht="14.4">
      <c r="A412" s="186">
        <v>411</v>
      </c>
      <c r="B412" s="186" t="s">
        <v>162</v>
      </c>
      <c r="C412" s="186" t="s">
        <v>609</v>
      </c>
      <c r="D412" s="186">
        <v>341.7</v>
      </c>
      <c r="E412" s="186">
        <v>4.7699999999999996</v>
      </c>
      <c r="F412" s="186">
        <v>4.88</v>
      </c>
      <c r="G412" s="186">
        <v>2.5933048580000002</v>
      </c>
    </row>
    <row r="413" spans="1:7" ht="14.4">
      <c r="A413" s="186">
        <v>412</v>
      </c>
      <c r="B413" s="186" t="s">
        <v>307</v>
      </c>
      <c r="C413" s="186" t="s">
        <v>610</v>
      </c>
      <c r="D413" s="186">
        <v>212.6</v>
      </c>
      <c r="E413" s="186">
        <v>4.83</v>
      </c>
      <c r="F413" s="186">
        <v>4.88</v>
      </c>
      <c r="G413" s="186">
        <v>2.5933048580000002</v>
      </c>
    </row>
    <row r="414" spans="1:7" ht="14.4">
      <c r="A414" s="186">
        <v>413</v>
      </c>
      <c r="B414" s="186" t="s">
        <v>213</v>
      </c>
      <c r="C414" s="186" t="s">
        <v>611</v>
      </c>
      <c r="D414" s="186">
        <v>11.5</v>
      </c>
      <c r="E414" s="186">
        <v>5.21</v>
      </c>
      <c r="F414" s="186">
        <v>4.88</v>
      </c>
      <c r="G414" s="186">
        <v>2.5933048580000002</v>
      </c>
    </row>
    <row r="415" spans="1:7" ht="14.4">
      <c r="A415" s="186">
        <v>414</v>
      </c>
      <c r="B415" s="186" t="s">
        <v>612</v>
      </c>
      <c r="C415" s="186" t="s">
        <v>613</v>
      </c>
      <c r="D415" s="186">
        <v>28.3</v>
      </c>
      <c r="E415" s="186">
        <v>5.14</v>
      </c>
      <c r="F415" s="186">
        <v>4.8899999999999997</v>
      </c>
      <c r="G415" s="186">
        <v>2.5982546200000001</v>
      </c>
    </row>
    <row r="416" spans="1:7" ht="14.4">
      <c r="A416" s="186">
        <v>415</v>
      </c>
      <c r="B416" s="186" t="s">
        <v>178</v>
      </c>
      <c r="C416" s="186" t="s">
        <v>614</v>
      </c>
      <c r="D416" s="186">
        <v>0.1</v>
      </c>
      <c r="E416" s="186">
        <v>4.97</v>
      </c>
      <c r="F416" s="186">
        <v>4.8899999999999997</v>
      </c>
      <c r="G416" s="186">
        <v>2.5982546200000001</v>
      </c>
    </row>
    <row r="417" spans="1:7" ht="14.4">
      <c r="A417" s="186">
        <v>416</v>
      </c>
      <c r="B417" s="186" t="s">
        <v>280</v>
      </c>
      <c r="C417" s="186" t="s">
        <v>615</v>
      </c>
      <c r="D417" s="186">
        <v>2.8</v>
      </c>
      <c r="E417" s="186">
        <v>4.38</v>
      </c>
      <c r="F417" s="186">
        <v>4.8899999999999997</v>
      </c>
      <c r="G417" s="186">
        <v>2.5982546200000001</v>
      </c>
    </row>
    <row r="418" spans="1:7" ht="14.4">
      <c r="A418" s="186">
        <v>417</v>
      </c>
      <c r="B418" s="186" t="s">
        <v>303</v>
      </c>
      <c r="C418" s="186" t="s">
        <v>616</v>
      </c>
      <c r="D418" s="186">
        <v>12</v>
      </c>
      <c r="E418" s="186">
        <v>4.75</v>
      </c>
      <c r="F418" s="186">
        <v>4.9000000000000004</v>
      </c>
      <c r="G418" s="186">
        <v>2.603213357</v>
      </c>
    </row>
    <row r="419" spans="1:7" ht="14.4">
      <c r="A419" s="186">
        <v>418</v>
      </c>
      <c r="B419" s="186" t="s">
        <v>175</v>
      </c>
      <c r="C419" s="186" t="s">
        <v>617</v>
      </c>
      <c r="D419" s="186">
        <v>23.6</v>
      </c>
      <c r="E419" s="186">
        <v>4.54</v>
      </c>
      <c r="F419" s="186">
        <v>4.9000000000000004</v>
      </c>
      <c r="G419" s="186">
        <v>2.603213357</v>
      </c>
    </row>
    <row r="420" spans="1:7" ht="14.4">
      <c r="A420" s="186">
        <v>419</v>
      </c>
      <c r="B420" s="186" t="s">
        <v>118</v>
      </c>
      <c r="C420" s="186" t="s">
        <v>618</v>
      </c>
      <c r="D420" s="186">
        <v>6.9</v>
      </c>
      <c r="E420" s="186">
        <v>4.74</v>
      </c>
      <c r="F420" s="186">
        <v>4.9000000000000004</v>
      </c>
      <c r="G420" s="186">
        <v>2.603213357</v>
      </c>
    </row>
    <row r="421" spans="1:7" ht="14.4">
      <c r="A421" s="186">
        <v>420</v>
      </c>
      <c r="B421" s="186" t="s">
        <v>213</v>
      </c>
      <c r="C421" s="186" t="s">
        <v>619</v>
      </c>
      <c r="D421" s="186">
        <v>67.5</v>
      </c>
      <c r="E421" s="186">
        <v>5.18</v>
      </c>
      <c r="F421" s="186">
        <v>4.9000000000000004</v>
      </c>
      <c r="G421" s="186">
        <v>2.603213357</v>
      </c>
    </row>
    <row r="422" spans="1:7" ht="14.4">
      <c r="A422" s="186">
        <v>421</v>
      </c>
      <c r="B422" s="186" t="s">
        <v>197</v>
      </c>
      <c r="C422" s="186" t="s">
        <v>620</v>
      </c>
      <c r="D422" s="186">
        <v>65.400000000000006</v>
      </c>
      <c r="E422" s="186">
        <v>4.95</v>
      </c>
      <c r="F422" s="186">
        <v>4.91</v>
      </c>
      <c r="G422" s="186">
        <v>2.6081810820000002</v>
      </c>
    </row>
    <row r="423" spans="1:7" ht="14.4">
      <c r="A423" s="186">
        <v>422</v>
      </c>
      <c r="B423" s="186" t="s">
        <v>477</v>
      </c>
      <c r="C423" s="186" t="s">
        <v>621</v>
      </c>
      <c r="D423" s="186">
        <v>5</v>
      </c>
      <c r="E423" s="186">
        <v>4.7</v>
      </c>
      <c r="F423" s="186">
        <v>4.91</v>
      </c>
      <c r="G423" s="186">
        <v>2.6081810820000002</v>
      </c>
    </row>
    <row r="424" spans="1:7" ht="14.4">
      <c r="A424" s="186">
        <v>423</v>
      </c>
      <c r="B424" s="186" t="s">
        <v>348</v>
      </c>
      <c r="C424" s="186" t="s">
        <v>622</v>
      </c>
      <c r="D424" s="187">
        <v>5959.6</v>
      </c>
      <c r="E424" s="186">
        <v>4.95</v>
      </c>
      <c r="F424" s="186">
        <v>4.91</v>
      </c>
      <c r="G424" s="186">
        <v>2.6081810820000002</v>
      </c>
    </row>
    <row r="425" spans="1:7" ht="14.4">
      <c r="A425" s="186">
        <v>424</v>
      </c>
      <c r="B425" s="186" t="s">
        <v>213</v>
      </c>
      <c r="C425" s="186" t="s">
        <v>623</v>
      </c>
      <c r="D425" s="186">
        <v>57.5</v>
      </c>
      <c r="E425" s="186">
        <v>5.19</v>
      </c>
      <c r="F425" s="186">
        <v>4.91</v>
      </c>
      <c r="G425" s="186">
        <v>2.6081810820000002</v>
      </c>
    </row>
    <row r="426" spans="1:7" ht="14.4">
      <c r="A426" s="186">
        <v>425</v>
      </c>
      <c r="B426" s="186" t="s">
        <v>303</v>
      </c>
      <c r="C426" s="186" t="s">
        <v>624</v>
      </c>
      <c r="D426" s="186">
        <v>13.9</v>
      </c>
      <c r="E426" s="186">
        <v>5.33</v>
      </c>
      <c r="F426" s="186">
        <v>4.92</v>
      </c>
      <c r="G426" s="186">
        <v>2.6131578129999999</v>
      </c>
    </row>
    <row r="427" spans="1:7" ht="14.4">
      <c r="A427" s="186">
        <v>426</v>
      </c>
      <c r="B427" s="186" t="s">
        <v>122</v>
      </c>
      <c r="C427" s="186" t="s">
        <v>625</v>
      </c>
      <c r="D427" s="186">
        <v>965.1</v>
      </c>
      <c r="E427" s="186">
        <v>5.45</v>
      </c>
      <c r="F427" s="186">
        <v>4.92</v>
      </c>
      <c r="G427" s="186">
        <v>2.6131578129999999</v>
      </c>
    </row>
    <row r="428" spans="1:7" ht="14.4">
      <c r="A428" s="186">
        <v>427</v>
      </c>
      <c r="B428" s="186" t="s">
        <v>309</v>
      </c>
      <c r="C428" s="186" t="s">
        <v>626</v>
      </c>
      <c r="D428" s="186">
        <v>5</v>
      </c>
      <c r="E428" s="186" t="s">
        <v>152</v>
      </c>
      <c r="F428" s="186">
        <v>4.92</v>
      </c>
      <c r="G428" s="186">
        <v>2.6131578129999999</v>
      </c>
    </row>
    <row r="429" spans="1:7" ht="14.4">
      <c r="A429" s="186">
        <v>428</v>
      </c>
      <c r="B429" s="186" t="s">
        <v>488</v>
      </c>
      <c r="C429" s="186" t="s">
        <v>627</v>
      </c>
      <c r="D429" s="186">
        <v>2.4</v>
      </c>
      <c r="E429" s="186">
        <v>5.3</v>
      </c>
      <c r="F429" s="186">
        <v>4.92</v>
      </c>
      <c r="G429" s="186">
        <v>2.6131578129999999</v>
      </c>
    </row>
    <row r="430" spans="1:7" ht="14.4">
      <c r="A430" s="186">
        <v>429</v>
      </c>
      <c r="B430" s="186" t="s">
        <v>192</v>
      </c>
      <c r="C430" s="186" t="s">
        <v>628</v>
      </c>
      <c r="D430" s="187">
        <v>1358.6</v>
      </c>
      <c r="E430" s="186">
        <v>5.37</v>
      </c>
      <c r="F430" s="186">
        <v>4.92</v>
      </c>
      <c r="G430" s="186">
        <v>2.6131578129999999</v>
      </c>
    </row>
    <row r="431" spans="1:7" ht="14.4">
      <c r="A431" s="186">
        <v>430</v>
      </c>
      <c r="B431" s="186" t="s">
        <v>286</v>
      </c>
      <c r="C431" s="186" t="s">
        <v>629</v>
      </c>
      <c r="D431" s="187">
        <v>1177.7</v>
      </c>
      <c r="E431" s="186">
        <v>5.27</v>
      </c>
      <c r="F431" s="186">
        <v>4.93</v>
      </c>
      <c r="G431" s="186">
        <v>2.618143565</v>
      </c>
    </row>
    <row r="432" spans="1:7" ht="14.4">
      <c r="A432" s="186">
        <v>431</v>
      </c>
      <c r="B432" s="186" t="s">
        <v>286</v>
      </c>
      <c r="C432" s="186" t="s">
        <v>630</v>
      </c>
      <c r="D432" s="186">
        <v>18.8</v>
      </c>
      <c r="E432" s="186">
        <v>4.84</v>
      </c>
      <c r="F432" s="186">
        <v>4.93</v>
      </c>
      <c r="G432" s="186">
        <v>2.618143565</v>
      </c>
    </row>
    <row r="433" spans="1:7" ht="14.4">
      <c r="A433" s="186">
        <v>432</v>
      </c>
      <c r="B433" s="186" t="s">
        <v>263</v>
      </c>
      <c r="C433" s="186" t="s">
        <v>631</v>
      </c>
      <c r="D433" s="186">
        <v>787.1</v>
      </c>
      <c r="E433" s="186">
        <v>4.59</v>
      </c>
      <c r="F433" s="186">
        <v>4.93</v>
      </c>
      <c r="G433" s="186">
        <v>2.618143565</v>
      </c>
    </row>
    <row r="434" spans="1:7" ht="14.4">
      <c r="A434" s="186">
        <v>433</v>
      </c>
      <c r="B434" s="186" t="s">
        <v>158</v>
      </c>
      <c r="C434" s="186" t="s">
        <v>632</v>
      </c>
      <c r="D434" s="186">
        <v>295.2</v>
      </c>
      <c r="E434" s="186">
        <v>4.67</v>
      </c>
      <c r="F434" s="186">
        <v>4.93</v>
      </c>
      <c r="G434" s="186">
        <v>2.618143565</v>
      </c>
    </row>
    <row r="435" spans="1:7" ht="14.4">
      <c r="A435" s="186">
        <v>434</v>
      </c>
      <c r="B435" s="186" t="s">
        <v>415</v>
      </c>
      <c r="C435" s="186" t="s">
        <v>633</v>
      </c>
      <c r="D435" s="186">
        <v>122.8</v>
      </c>
      <c r="E435" s="186">
        <v>4.62</v>
      </c>
      <c r="F435" s="186">
        <v>4.93</v>
      </c>
      <c r="G435" s="186">
        <v>2.618143565</v>
      </c>
    </row>
    <row r="436" spans="1:7" ht="14.4">
      <c r="A436" s="186">
        <v>435</v>
      </c>
      <c r="B436" s="186" t="s">
        <v>335</v>
      </c>
      <c r="C436" s="186" t="s">
        <v>634</v>
      </c>
      <c r="D436" s="186">
        <v>2.6</v>
      </c>
      <c r="E436" s="186">
        <v>4.79</v>
      </c>
      <c r="F436" s="186">
        <v>4.93</v>
      </c>
      <c r="G436" s="186">
        <v>2.618143565</v>
      </c>
    </row>
    <row r="437" spans="1:7" ht="14.4">
      <c r="A437" s="186">
        <v>436</v>
      </c>
      <c r="B437" s="186" t="s">
        <v>635</v>
      </c>
      <c r="C437" s="186" t="s">
        <v>636</v>
      </c>
      <c r="D437" s="186">
        <v>29</v>
      </c>
      <c r="E437" s="186">
        <v>5.21</v>
      </c>
      <c r="F437" s="186">
        <v>4.93</v>
      </c>
      <c r="G437" s="186">
        <v>2.618143565</v>
      </c>
    </row>
    <row r="438" spans="1:7" ht="14.4">
      <c r="A438" s="186">
        <v>437</v>
      </c>
      <c r="B438" s="186" t="s">
        <v>158</v>
      </c>
      <c r="C438" s="186" t="s">
        <v>637</v>
      </c>
      <c r="D438" s="186">
        <v>667.7</v>
      </c>
      <c r="E438" s="186">
        <v>4.7300000000000004</v>
      </c>
      <c r="F438" s="186">
        <v>4.9400000000000004</v>
      </c>
      <c r="G438" s="186">
        <v>2.6231383529999999</v>
      </c>
    </row>
    <row r="439" spans="1:7" ht="14.4">
      <c r="A439" s="186">
        <v>438</v>
      </c>
      <c r="B439" s="186" t="s">
        <v>178</v>
      </c>
      <c r="C439" s="186" t="s">
        <v>638</v>
      </c>
      <c r="D439" s="186">
        <v>0.4</v>
      </c>
      <c r="E439" s="186">
        <v>5.03</v>
      </c>
      <c r="F439" s="186">
        <v>4.95</v>
      </c>
      <c r="G439" s="186">
        <v>2.6281421919999999</v>
      </c>
    </row>
    <row r="440" spans="1:7" ht="14.4">
      <c r="A440" s="186">
        <v>439</v>
      </c>
      <c r="B440" s="186" t="s">
        <v>162</v>
      </c>
      <c r="C440" s="186" t="s">
        <v>639</v>
      </c>
      <c r="D440" s="186">
        <v>23.1</v>
      </c>
      <c r="E440" s="186">
        <v>5.29</v>
      </c>
      <c r="F440" s="186">
        <v>4.95</v>
      </c>
      <c r="G440" s="186">
        <v>2.6281421919999999</v>
      </c>
    </row>
    <row r="441" spans="1:7" ht="14.4">
      <c r="A441" s="186">
        <v>440</v>
      </c>
      <c r="B441" s="186" t="s">
        <v>226</v>
      </c>
      <c r="C441" s="186" t="s">
        <v>640</v>
      </c>
      <c r="D441" s="186">
        <v>18.100000000000001</v>
      </c>
      <c r="E441" s="186">
        <v>4.96</v>
      </c>
      <c r="F441" s="186">
        <v>4.95</v>
      </c>
      <c r="G441" s="186">
        <v>2.6281421919999999</v>
      </c>
    </row>
    <row r="442" spans="1:7" ht="14.4">
      <c r="A442" s="186">
        <v>441</v>
      </c>
      <c r="B442" s="186" t="s">
        <v>293</v>
      </c>
      <c r="C442" s="186" t="s">
        <v>641</v>
      </c>
      <c r="D442" s="186">
        <v>14.2</v>
      </c>
      <c r="E442" s="186">
        <v>4.5999999999999996</v>
      </c>
      <c r="F442" s="186">
        <v>4.95</v>
      </c>
      <c r="G442" s="186">
        <v>2.6281421919999999</v>
      </c>
    </row>
    <row r="443" spans="1:7" ht="14.4">
      <c r="A443" s="186">
        <v>442</v>
      </c>
      <c r="B443" s="186" t="s">
        <v>348</v>
      </c>
      <c r="C443" s="186" t="s">
        <v>642</v>
      </c>
      <c r="D443" s="186">
        <v>133.4</v>
      </c>
      <c r="E443" s="186">
        <v>5.29</v>
      </c>
      <c r="F443" s="186">
        <v>4.95</v>
      </c>
      <c r="G443" s="186">
        <v>2.6281421919999999</v>
      </c>
    </row>
    <row r="444" spans="1:7" ht="14.4">
      <c r="A444" s="186">
        <v>443</v>
      </c>
      <c r="B444" s="186" t="s">
        <v>643</v>
      </c>
      <c r="C444" s="186" t="s">
        <v>644</v>
      </c>
      <c r="D444" s="186">
        <v>118.2</v>
      </c>
      <c r="E444" s="186">
        <v>5.43</v>
      </c>
      <c r="F444" s="186">
        <v>4.95</v>
      </c>
      <c r="G444" s="186">
        <v>2.6281421919999999</v>
      </c>
    </row>
    <row r="445" spans="1:7" ht="14.4">
      <c r="A445" s="186">
        <v>444</v>
      </c>
      <c r="B445" s="186" t="s">
        <v>280</v>
      </c>
      <c r="C445" s="186" t="s">
        <v>645</v>
      </c>
      <c r="D445" s="186">
        <v>7.5</v>
      </c>
      <c r="E445" s="186">
        <v>5.54</v>
      </c>
      <c r="F445" s="186">
        <v>4.95</v>
      </c>
      <c r="G445" s="186">
        <v>2.6281421919999999</v>
      </c>
    </row>
    <row r="446" spans="1:7" ht="14.4">
      <c r="A446" s="186">
        <v>445</v>
      </c>
      <c r="B446" s="186" t="s">
        <v>158</v>
      </c>
      <c r="C446" s="186" t="s">
        <v>646</v>
      </c>
      <c r="D446" s="186">
        <v>196.4</v>
      </c>
      <c r="E446" s="186">
        <v>4.75</v>
      </c>
      <c r="F446" s="186">
        <v>4.96</v>
      </c>
      <c r="G446" s="186">
        <v>2.633155098</v>
      </c>
    </row>
    <row r="447" spans="1:7" ht="14.4">
      <c r="A447" s="186">
        <v>446</v>
      </c>
      <c r="B447" s="186" t="s">
        <v>210</v>
      </c>
      <c r="C447" s="186" t="s">
        <v>647</v>
      </c>
      <c r="D447" s="186">
        <v>498.9</v>
      </c>
      <c r="E447" s="186">
        <v>4.57</v>
      </c>
      <c r="F447" s="186">
        <v>4.96</v>
      </c>
      <c r="G447" s="186">
        <v>2.633155098</v>
      </c>
    </row>
    <row r="448" spans="1:7" ht="14.4">
      <c r="A448" s="186">
        <v>447</v>
      </c>
      <c r="B448" s="186" t="s">
        <v>488</v>
      </c>
      <c r="C448" s="186" t="s">
        <v>648</v>
      </c>
      <c r="D448" s="186">
        <v>0.1</v>
      </c>
      <c r="E448" s="186">
        <v>5.43</v>
      </c>
      <c r="F448" s="186">
        <v>4.96</v>
      </c>
      <c r="G448" s="186">
        <v>2.633155098</v>
      </c>
    </row>
    <row r="449" spans="1:7" ht="14.4">
      <c r="A449" s="186">
        <v>448</v>
      </c>
      <c r="B449" s="186" t="s">
        <v>112</v>
      </c>
      <c r="C449" s="186" t="s">
        <v>649</v>
      </c>
      <c r="D449" s="186">
        <v>122.7</v>
      </c>
      <c r="E449" s="186">
        <v>5.36</v>
      </c>
      <c r="F449" s="186">
        <v>4.97</v>
      </c>
      <c r="G449" s="186">
        <v>2.6381770869999999</v>
      </c>
    </row>
    <row r="450" spans="1:7" ht="14.4">
      <c r="A450" s="186">
        <v>449</v>
      </c>
      <c r="B450" s="186" t="s">
        <v>271</v>
      </c>
      <c r="C450" s="186" t="s">
        <v>650</v>
      </c>
      <c r="D450" s="186">
        <v>56.9</v>
      </c>
      <c r="E450" s="186">
        <v>5.21</v>
      </c>
      <c r="F450" s="186">
        <v>4.97</v>
      </c>
      <c r="G450" s="186">
        <v>2.6381770869999999</v>
      </c>
    </row>
    <row r="451" spans="1:7" ht="14.4">
      <c r="A451" s="186">
        <v>450</v>
      </c>
      <c r="B451" s="186" t="s">
        <v>651</v>
      </c>
      <c r="C451" s="186" t="s">
        <v>652</v>
      </c>
      <c r="D451" s="186">
        <v>1.8</v>
      </c>
      <c r="E451" s="186">
        <v>5.27</v>
      </c>
      <c r="F451" s="186">
        <v>4.97</v>
      </c>
      <c r="G451" s="186">
        <v>2.6381770869999999</v>
      </c>
    </row>
    <row r="452" spans="1:7" ht="14.4">
      <c r="A452" s="186">
        <v>451</v>
      </c>
      <c r="B452" s="186" t="s">
        <v>153</v>
      </c>
      <c r="C452" s="186" t="s">
        <v>653</v>
      </c>
      <c r="D452" s="187">
        <v>6217.6</v>
      </c>
      <c r="E452" s="186">
        <v>5</v>
      </c>
      <c r="F452" s="186">
        <v>4.97</v>
      </c>
      <c r="G452" s="186">
        <v>2.6381770869999999</v>
      </c>
    </row>
    <row r="453" spans="1:7" ht="14.4">
      <c r="A453" s="186">
        <v>452</v>
      </c>
      <c r="B453" s="186" t="s">
        <v>545</v>
      </c>
      <c r="C453" s="186" t="s">
        <v>654</v>
      </c>
      <c r="D453" s="186">
        <v>75.3</v>
      </c>
      <c r="E453" s="186">
        <v>5.35</v>
      </c>
      <c r="F453" s="186">
        <v>4.97</v>
      </c>
      <c r="G453" s="186">
        <v>2.6381770869999999</v>
      </c>
    </row>
    <row r="454" spans="1:7" ht="14.4">
      <c r="A454" s="186">
        <v>453</v>
      </c>
      <c r="B454" s="186" t="s">
        <v>536</v>
      </c>
      <c r="C454" s="186" t="s">
        <v>655</v>
      </c>
      <c r="D454" s="186">
        <v>87.3</v>
      </c>
      <c r="E454" s="186">
        <v>4.8899999999999997</v>
      </c>
      <c r="F454" s="186">
        <v>4.9800000000000004</v>
      </c>
      <c r="G454" s="186">
        <v>2.6432081740000002</v>
      </c>
    </row>
    <row r="455" spans="1:7" ht="14.4">
      <c r="A455" s="186">
        <v>454</v>
      </c>
      <c r="B455" s="186" t="s">
        <v>335</v>
      </c>
      <c r="C455" s="186" t="s">
        <v>656</v>
      </c>
      <c r="D455" s="186">
        <v>139.5</v>
      </c>
      <c r="E455" s="186">
        <v>4.83</v>
      </c>
      <c r="F455" s="186">
        <v>4.9800000000000004</v>
      </c>
      <c r="G455" s="186">
        <v>2.6432081740000002</v>
      </c>
    </row>
    <row r="456" spans="1:7" ht="14.4">
      <c r="A456" s="186">
        <v>455</v>
      </c>
      <c r="B456" s="186" t="s">
        <v>271</v>
      </c>
      <c r="C456" s="186" t="s">
        <v>657</v>
      </c>
      <c r="D456" s="186">
        <v>8</v>
      </c>
      <c r="E456" s="186">
        <v>5.0199999999999996</v>
      </c>
      <c r="F456" s="186">
        <v>4.99</v>
      </c>
      <c r="G456" s="186">
        <v>2.6482483750000001</v>
      </c>
    </row>
    <row r="457" spans="1:7" ht="14.4">
      <c r="A457" s="186">
        <v>456</v>
      </c>
      <c r="B457" s="186" t="s">
        <v>658</v>
      </c>
      <c r="C457" s="186" t="s">
        <v>659</v>
      </c>
      <c r="D457" s="186">
        <v>169</v>
      </c>
      <c r="E457" s="186">
        <v>4.99</v>
      </c>
      <c r="F457" s="186">
        <v>4.99</v>
      </c>
      <c r="G457" s="186">
        <v>2.6482483750000001</v>
      </c>
    </row>
    <row r="458" spans="1:7" ht="14.4">
      <c r="A458" s="186">
        <v>457</v>
      </c>
      <c r="B458" s="186" t="s">
        <v>146</v>
      </c>
      <c r="C458" s="186" t="s">
        <v>660</v>
      </c>
      <c r="D458" s="186">
        <v>100.7</v>
      </c>
      <c r="E458" s="186">
        <v>5.0599999999999996</v>
      </c>
      <c r="F458" s="186">
        <v>4.99</v>
      </c>
      <c r="G458" s="186">
        <v>2.6482483750000001</v>
      </c>
    </row>
    <row r="459" spans="1:7" ht="14.4">
      <c r="A459" s="186">
        <v>458</v>
      </c>
      <c r="B459" s="186" t="s">
        <v>348</v>
      </c>
      <c r="C459" s="186" t="s">
        <v>661</v>
      </c>
      <c r="D459" s="186">
        <v>59.1</v>
      </c>
      <c r="E459" s="186">
        <v>5.18</v>
      </c>
      <c r="F459" s="186">
        <v>4.99</v>
      </c>
      <c r="G459" s="186">
        <v>2.6482483750000001</v>
      </c>
    </row>
    <row r="460" spans="1:7" ht="14.4">
      <c r="A460" s="186">
        <v>459</v>
      </c>
      <c r="B460" s="186" t="s">
        <v>335</v>
      </c>
      <c r="C460" s="186" t="s">
        <v>662</v>
      </c>
      <c r="D460" s="186">
        <v>37.4</v>
      </c>
      <c r="E460" s="186">
        <v>5.12</v>
      </c>
      <c r="F460" s="186">
        <v>4.99</v>
      </c>
      <c r="G460" s="186">
        <v>2.6482483750000001</v>
      </c>
    </row>
    <row r="461" spans="1:7" ht="14.4">
      <c r="A461" s="186">
        <v>460</v>
      </c>
      <c r="B461" s="186" t="s">
        <v>663</v>
      </c>
      <c r="C461" s="186" t="s">
        <v>664</v>
      </c>
      <c r="D461" s="186">
        <v>32.700000000000003</v>
      </c>
      <c r="E461" s="186">
        <v>4.8499999999999996</v>
      </c>
      <c r="F461" s="186">
        <v>4.99</v>
      </c>
      <c r="G461" s="186">
        <v>2.6482483750000001</v>
      </c>
    </row>
    <row r="462" spans="1:7" ht="14.4">
      <c r="A462" s="186">
        <v>461</v>
      </c>
      <c r="B462" s="186" t="s">
        <v>271</v>
      </c>
      <c r="C462" s="186" t="s">
        <v>665</v>
      </c>
      <c r="D462" s="186">
        <v>2.9</v>
      </c>
      <c r="E462" s="186">
        <v>5.08</v>
      </c>
      <c r="F462" s="186">
        <v>5</v>
      </c>
      <c r="G462" s="186">
        <v>2.653297705</v>
      </c>
    </row>
    <row r="463" spans="1:7" ht="14.4">
      <c r="A463" s="186">
        <v>462</v>
      </c>
      <c r="B463" s="186" t="s">
        <v>162</v>
      </c>
      <c r="C463" s="186" t="s">
        <v>666</v>
      </c>
      <c r="D463" s="186">
        <v>19.100000000000001</v>
      </c>
      <c r="E463" s="186">
        <v>5.59</v>
      </c>
      <c r="F463" s="186">
        <v>5</v>
      </c>
      <c r="G463" s="186">
        <v>2.653297705</v>
      </c>
    </row>
    <row r="464" spans="1:7" ht="14.4">
      <c r="A464" s="186">
        <v>463</v>
      </c>
      <c r="B464" s="186" t="s">
        <v>303</v>
      </c>
      <c r="C464" s="186" t="s">
        <v>667</v>
      </c>
      <c r="D464" s="186">
        <v>0.3</v>
      </c>
      <c r="E464" s="186">
        <v>5.16</v>
      </c>
      <c r="F464" s="186">
        <v>5</v>
      </c>
      <c r="G464" s="186">
        <v>2.653297705</v>
      </c>
    </row>
    <row r="465" spans="1:7" ht="14.4">
      <c r="A465" s="186">
        <v>464</v>
      </c>
      <c r="B465" s="186" t="s">
        <v>153</v>
      </c>
      <c r="C465" s="186" t="s">
        <v>668</v>
      </c>
      <c r="D465" s="186">
        <v>9.4</v>
      </c>
      <c r="E465" s="186">
        <v>5.0599999999999996</v>
      </c>
      <c r="F465" s="186">
        <v>5</v>
      </c>
      <c r="G465" s="186">
        <v>2.653297705</v>
      </c>
    </row>
    <row r="466" spans="1:7" ht="14.4">
      <c r="A466" s="186">
        <v>465</v>
      </c>
      <c r="B466" s="186" t="s">
        <v>362</v>
      </c>
      <c r="C466" s="186" t="s">
        <v>669</v>
      </c>
      <c r="D466" s="186">
        <v>3.1</v>
      </c>
      <c r="E466" s="186">
        <v>5.29</v>
      </c>
      <c r="F466" s="186">
        <v>5</v>
      </c>
      <c r="G466" s="186">
        <v>2.653297705</v>
      </c>
    </row>
    <row r="467" spans="1:7" ht="14.4">
      <c r="A467" s="186">
        <v>466</v>
      </c>
      <c r="B467" s="186" t="s">
        <v>146</v>
      </c>
      <c r="C467" s="186" t="s">
        <v>670</v>
      </c>
      <c r="D467" s="186">
        <v>0.1</v>
      </c>
      <c r="E467" s="186">
        <v>5.18</v>
      </c>
      <c r="F467" s="186">
        <v>5</v>
      </c>
      <c r="G467" s="186">
        <v>2.653297705</v>
      </c>
    </row>
    <row r="468" spans="1:7" ht="14.4">
      <c r="A468" s="186">
        <v>467</v>
      </c>
      <c r="B468" s="186" t="s">
        <v>288</v>
      </c>
      <c r="C468" s="186" t="s">
        <v>671</v>
      </c>
      <c r="D468" s="186">
        <v>27.3</v>
      </c>
      <c r="E468" s="186">
        <v>5.18</v>
      </c>
      <c r="F468" s="186">
        <v>5</v>
      </c>
      <c r="G468" s="186">
        <v>2.653297705</v>
      </c>
    </row>
    <row r="469" spans="1:7" ht="14.4">
      <c r="A469" s="186">
        <v>468</v>
      </c>
      <c r="B469" s="186" t="s">
        <v>213</v>
      </c>
      <c r="C469" s="186" t="s">
        <v>672</v>
      </c>
      <c r="D469" s="186">
        <v>153.4</v>
      </c>
      <c r="E469" s="186">
        <v>4.76</v>
      </c>
      <c r="F469" s="186">
        <v>5</v>
      </c>
      <c r="G469" s="186">
        <v>2.653297705</v>
      </c>
    </row>
    <row r="470" spans="1:7" ht="14.4">
      <c r="A470" s="186">
        <v>469</v>
      </c>
      <c r="B470" s="186" t="s">
        <v>340</v>
      </c>
      <c r="C470" s="186" t="s">
        <v>673</v>
      </c>
      <c r="D470" s="186">
        <v>216.9</v>
      </c>
      <c r="E470" s="186">
        <v>4.99</v>
      </c>
      <c r="F470" s="186">
        <v>5</v>
      </c>
      <c r="G470" s="186">
        <v>2.653297705</v>
      </c>
    </row>
    <row r="471" spans="1:7" ht="14.4">
      <c r="A471" s="186">
        <v>470</v>
      </c>
      <c r="B471" s="186" t="s">
        <v>547</v>
      </c>
      <c r="C471" s="186" t="s">
        <v>674</v>
      </c>
      <c r="D471" s="186">
        <v>441.6</v>
      </c>
      <c r="E471" s="186">
        <v>5.13</v>
      </c>
      <c r="F471" s="186">
        <v>5.01</v>
      </c>
      <c r="G471" s="186">
        <v>2.6583561809999998</v>
      </c>
    </row>
    <row r="472" spans="1:7" ht="14.4">
      <c r="A472" s="186">
        <v>471</v>
      </c>
      <c r="B472" s="186" t="s">
        <v>175</v>
      </c>
      <c r="C472" s="186" t="s">
        <v>675</v>
      </c>
      <c r="D472" s="187">
        <v>1406.4</v>
      </c>
      <c r="E472" s="186">
        <v>5.0599999999999996</v>
      </c>
      <c r="F472" s="186">
        <v>5.0199999999999996</v>
      </c>
      <c r="G472" s="186">
        <v>2.663423817</v>
      </c>
    </row>
    <row r="473" spans="1:7" ht="14.4">
      <c r="A473" s="186">
        <v>472</v>
      </c>
      <c r="B473" s="186" t="s">
        <v>365</v>
      </c>
      <c r="C473" s="186" t="s">
        <v>676</v>
      </c>
      <c r="D473" s="186">
        <v>181.2</v>
      </c>
      <c r="E473" s="186">
        <v>5.01</v>
      </c>
      <c r="F473" s="186">
        <v>5.0199999999999996</v>
      </c>
      <c r="G473" s="186">
        <v>2.663423817</v>
      </c>
    </row>
    <row r="474" spans="1:7" ht="14.4">
      <c r="A474" s="186">
        <v>473</v>
      </c>
      <c r="B474" s="186" t="s">
        <v>677</v>
      </c>
      <c r="C474" s="186" t="s">
        <v>678</v>
      </c>
      <c r="D474" s="186">
        <v>6</v>
      </c>
      <c r="E474" s="186">
        <v>4.72</v>
      </c>
      <c r="F474" s="186">
        <v>5.0199999999999996</v>
      </c>
      <c r="G474" s="186">
        <v>2.663423817</v>
      </c>
    </row>
    <row r="475" spans="1:7" ht="14.4">
      <c r="A475" s="186">
        <v>474</v>
      </c>
      <c r="B475" s="186" t="s">
        <v>677</v>
      </c>
      <c r="C475" s="186" t="s">
        <v>679</v>
      </c>
      <c r="D475" s="186">
        <v>157.19999999999999</v>
      </c>
      <c r="E475" s="186">
        <v>5.0199999999999996</v>
      </c>
      <c r="F475" s="186">
        <v>5.0199999999999996</v>
      </c>
      <c r="G475" s="186">
        <v>2.663423817</v>
      </c>
    </row>
    <row r="476" spans="1:7" ht="14.4">
      <c r="A476" s="186">
        <v>475</v>
      </c>
      <c r="B476" s="186" t="s">
        <v>680</v>
      </c>
      <c r="C476" s="186" t="s">
        <v>681</v>
      </c>
      <c r="D476" s="186">
        <v>21.3</v>
      </c>
      <c r="E476" s="186">
        <v>5.12</v>
      </c>
      <c r="F476" s="186">
        <v>5.0199999999999996</v>
      </c>
      <c r="G476" s="186">
        <v>2.663423817</v>
      </c>
    </row>
    <row r="477" spans="1:7" ht="14.4">
      <c r="A477" s="186">
        <v>476</v>
      </c>
      <c r="B477" s="186" t="s">
        <v>226</v>
      </c>
      <c r="C477" s="186" t="s">
        <v>682</v>
      </c>
      <c r="D477" s="186">
        <v>2.4</v>
      </c>
      <c r="E477" s="186">
        <v>5.46</v>
      </c>
      <c r="F477" s="186">
        <v>5.03</v>
      </c>
      <c r="G477" s="186">
        <v>2.66850063</v>
      </c>
    </row>
    <row r="478" spans="1:7" ht="14.4">
      <c r="A478" s="186">
        <v>477</v>
      </c>
      <c r="B478" s="186" t="s">
        <v>365</v>
      </c>
      <c r="C478" s="186" t="s">
        <v>683</v>
      </c>
      <c r="D478" s="186">
        <v>553.4</v>
      </c>
      <c r="E478" s="186">
        <v>5.0199999999999996</v>
      </c>
      <c r="F478" s="186">
        <v>5.03</v>
      </c>
      <c r="G478" s="186">
        <v>2.66850063</v>
      </c>
    </row>
    <row r="479" spans="1:7" ht="14.4">
      <c r="A479" s="186">
        <v>478</v>
      </c>
      <c r="B479" s="186" t="s">
        <v>488</v>
      </c>
      <c r="C479" s="186" t="s">
        <v>684</v>
      </c>
      <c r="D479" s="186">
        <v>0.5</v>
      </c>
      <c r="E479" s="186">
        <v>5.5</v>
      </c>
      <c r="F479" s="186">
        <v>5.03</v>
      </c>
      <c r="G479" s="186">
        <v>2.66850063</v>
      </c>
    </row>
    <row r="480" spans="1:7" ht="14.4">
      <c r="A480" s="186">
        <v>479</v>
      </c>
      <c r="B480" s="186" t="s">
        <v>162</v>
      </c>
      <c r="C480" s="186" t="s">
        <v>685</v>
      </c>
      <c r="D480" s="186">
        <v>119.9</v>
      </c>
      <c r="E480" s="186">
        <v>5.39</v>
      </c>
      <c r="F480" s="186">
        <v>5.04</v>
      </c>
      <c r="G480" s="186">
        <v>2.6735866349999999</v>
      </c>
    </row>
    <row r="481" spans="1:7" ht="14.4">
      <c r="A481" s="186">
        <v>480</v>
      </c>
      <c r="B481" s="186" t="s">
        <v>226</v>
      </c>
      <c r="C481" s="186" t="s">
        <v>686</v>
      </c>
      <c r="D481" s="186">
        <v>0.7</v>
      </c>
      <c r="E481" s="186">
        <v>4.74</v>
      </c>
      <c r="F481" s="186">
        <v>5.04</v>
      </c>
      <c r="G481" s="186">
        <v>2.6735866349999999</v>
      </c>
    </row>
    <row r="482" spans="1:7" ht="14.4">
      <c r="A482" s="186">
        <v>481</v>
      </c>
      <c r="B482" s="186" t="s">
        <v>477</v>
      </c>
      <c r="C482" s="186" t="s">
        <v>687</v>
      </c>
      <c r="D482" s="186">
        <v>9.5</v>
      </c>
      <c r="E482" s="186">
        <v>4.83</v>
      </c>
      <c r="F482" s="186">
        <v>5.04</v>
      </c>
      <c r="G482" s="186">
        <v>2.6735866349999999</v>
      </c>
    </row>
    <row r="483" spans="1:7" ht="14.4">
      <c r="A483" s="186">
        <v>482</v>
      </c>
      <c r="B483" s="186" t="s">
        <v>420</v>
      </c>
      <c r="C483" s="186" t="s">
        <v>688</v>
      </c>
      <c r="D483" s="186">
        <v>346.5</v>
      </c>
      <c r="E483" s="186">
        <v>4.71</v>
      </c>
      <c r="F483" s="186">
        <v>5.04</v>
      </c>
      <c r="G483" s="186">
        <v>2.6735866349999999</v>
      </c>
    </row>
    <row r="484" spans="1:7" ht="14.4">
      <c r="A484" s="186">
        <v>483</v>
      </c>
      <c r="B484" s="186" t="s">
        <v>286</v>
      </c>
      <c r="C484" s="186" t="s">
        <v>689</v>
      </c>
      <c r="D484" s="186">
        <v>2</v>
      </c>
      <c r="E484" s="186">
        <v>5.33</v>
      </c>
      <c r="F484" s="186">
        <v>5.05</v>
      </c>
      <c r="G484" s="186">
        <v>2.6786818490000002</v>
      </c>
    </row>
    <row r="485" spans="1:7" ht="14.4">
      <c r="A485" s="186">
        <v>484</v>
      </c>
      <c r="B485" s="186" t="s">
        <v>153</v>
      </c>
      <c r="C485" s="186" t="s">
        <v>690</v>
      </c>
      <c r="D485" s="186">
        <v>971.2</v>
      </c>
      <c r="E485" s="186">
        <v>5.08</v>
      </c>
      <c r="F485" s="186">
        <v>5.05</v>
      </c>
      <c r="G485" s="186">
        <v>2.6786818490000002</v>
      </c>
    </row>
    <row r="486" spans="1:7" ht="14.4">
      <c r="A486" s="186">
        <v>485</v>
      </c>
      <c r="B486" s="186" t="s">
        <v>263</v>
      </c>
      <c r="C486" s="186" t="s">
        <v>691</v>
      </c>
      <c r="D486" s="186">
        <v>4.0999999999999996</v>
      </c>
      <c r="E486" s="186">
        <v>5.0199999999999996</v>
      </c>
      <c r="F486" s="186">
        <v>5.05</v>
      </c>
      <c r="G486" s="186">
        <v>2.6786818490000002</v>
      </c>
    </row>
    <row r="487" spans="1:7" ht="14.4">
      <c r="A487" s="186">
        <v>486</v>
      </c>
      <c r="B487" s="186" t="s">
        <v>373</v>
      </c>
      <c r="C487" s="186" t="s">
        <v>692</v>
      </c>
      <c r="D487" s="186">
        <v>291</v>
      </c>
      <c r="E487" s="186">
        <v>5.23</v>
      </c>
      <c r="F487" s="186">
        <v>5.05</v>
      </c>
      <c r="G487" s="186">
        <v>2.6786818490000002</v>
      </c>
    </row>
    <row r="488" spans="1:7" ht="14.4">
      <c r="A488" s="186">
        <v>487</v>
      </c>
      <c r="B488" s="186" t="s">
        <v>553</v>
      </c>
      <c r="C488" s="186" t="s">
        <v>693</v>
      </c>
      <c r="D488" s="186">
        <v>513.6</v>
      </c>
      <c r="E488" s="186">
        <v>5.18</v>
      </c>
      <c r="F488" s="186">
        <v>5.0599999999999996</v>
      </c>
      <c r="G488" s="186">
        <v>2.6837862860000001</v>
      </c>
    </row>
    <row r="489" spans="1:7" ht="14.4">
      <c r="A489" s="186">
        <v>488</v>
      </c>
      <c r="B489" s="186" t="s">
        <v>694</v>
      </c>
      <c r="C489" s="186" t="s">
        <v>695</v>
      </c>
      <c r="D489" s="186">
        <v>33.1</v>
      </c>
      <c r="E489" s="186">
        <v>4.74</v>
      </c>
      <c r="F489" s="186">
        <v>5.0599999999999996</v>
      </c>
      <c r="G489" s="186">
        <v>2.6837862860000001</v>
      </c>
    </row>
    <row r="490" spans="1:7" ht="14.4">
      <c r="A490" s="186">
        <v>489</v>
      </c>
      <c r="B490" s="186" t="s">
        <v>373</v>
      </c>
      <c r="C490" s="186" t="s">
        <v>696</v>
      </c>
      <c r="D490" s="186">
        <v>333.7</v>
      </c>
      <c r="E490" s="186">
        <v>5.18</v>
      </c>
      <c r="F490" s="186">
        <v>5.07</v>
      </c>
      <c r="G490" s="186">
        <v>2.6888999629999999</v>
      </c>
    </row>
    <row r="491" spans="1:7" ht="14.4">
      <c r="A491" s="186">
        <v>490</v>
      </c>
      <c r="B491" s="186" t="s">
        <v>307</v>
      </c>
      <c r="C491" s="186" t="s">
        <v>697</v>
      </c>
      <c r="D491" s="186">
        <v>65.8</v>
      </c>
      <c r="E491" s="186">
        <v>5.38</v>
      </c>
      <c r="F491" s="186">
        <v>5.07</v>
      </c>
      <c r="G491" s="186">
        <v>2.6888999629999999</v>
      </c>
    </row>
    <row r="492" spans="1:7" ht="14.4">
      <c r="A492" s="186">
        <v>491</v>
      </c>
      <c r="B492" s="186" t="s">
        <v>138</v>
      </c>
      <c r="C492" s="186" t="s">
        <v>698</v>
      </c>
      <c r="D492" s="187">
        <v>1344.9</v>
      </c>
      <c r="E492" s="186">
        <v>5.13</v>
      </c>
      <c r="F492" s="186">
        <v>5.08</v>
      </c>
      <c r="G492" s="186">
        <v>2.6940228949999998</v>
      </c>
    </row>
    <row r="493" spans="1:7" ht="14.4">
      <c r="A493" s="186">
        <v>492</v>
      </c>
      <c r="B493" s="186" t="s">
        <v>415</v>
      </c>
      <c r="C493" s="186" t="s">
        <v>699</v>
      </c>
      <c r="D493" s="186">
        <v>135.9</v>
      </c>
      <c r="E493" s="186">
        <v>5.35</v>
      </c>
      <c r="F493" s="186">
        <v>5.08</v>
      </c>
      <c r="G493" s="186">
        <v>2.6940228949999998</v>
      </c>
    </row>
    <row r="494" spans="1:7" ht="14.4">
      <c r="A494" s="186">
        <v>493</v>
      </c>
      <c r="B494" s="186" t="s">
        <v>415</v>
      </c>
      <c r="C494" s="186" t="s">
        <v>700</v>
      </c>
      <c r="D494" s="186">
        <v>622.29999999999995</v>
      </c>
      <c r="E494" s="186">
        <v>5.35</v>
      </c>
      <c r="F494" s="186">
        <v>5.08</v>
      </c>
      <c r="G494" s="186">
        <v>2.6940228949999998</v>
      </c>
    </row>
    <row r="495" spans="1:7" ht="14.4">
      <c r="A495" s="186">
        <v>494</v>
      </c>
      <c r="B495" s="186" t="s">
        <v>293</v>
      </c>
      <c r="C495" s="186" t="s">
        <v>701</v>
      </c>
      <c r="D495" s="186">
        <v>8</v>
      </c>
      <c r="E495" s="186">
        <v>5.1100000000000003</v>
      </c>
      <c r="F495" s="186">
        <v>5.08</v>
      </c>
      <c r="G495" s="186">
        <v>2.6940228949999998</v>
      </c>
    </row>
    <row r="496" spans="1:7" ht="14.4">
      <c r="A496" s="186">
        <v>495</v>
      </c>
      <c r="B496" s="186" t="s">
        <v>319</v>
      </c>
      <c r="C496" s="186" t="s">
        <v>702</v>
      </c>
      <c r="D496" s="186">
        <v>19.3</v>
      </c>
      <c r="E496" s="186">
        <v>4.6399999999999997</v>
      </c>
      <c r="F496" s="186">
        <v>5.08</v>
      </c>
      <c r="G496" s="186">
        <v>2.6940228949999998</v>
      </c>
    </row>
    <row r="497" spans="1:7" ht="14.4">
      <c r="A497" s="186">
        <v>496</v>
      </c>
      <c r="B497" s="186" t="s">
        <v>703</v>
      </c>
      <c r="C497" s="186" t="s">
        <v>704</v>
      </c>
      <c r="D497" s="187">
        <v>2006.6</v>
      </c>
      <c r="E497" s="186">
        <v>5.12</v>
      </c>
      <c r="F497" s="186">
        <v>5.08</v>
      </c>
      <c r="G497" s="186">
        <v>2.6940228949999998</v>
      </c>
    </row>
    <row r="498" spans="1:7" ht="14.4">
      <c r="A498" s="186">
        <v>497</v>
      </c>
      <c r="B498" s="186" t="s">
        <v>325</v>
      </c>
      <c r="C498" s="186" t="s">
        <v>705</v>
      </c>
      <c r="D498" s="186">
        <v>11.5</v>
      </c>
      <c r="E498" s="186">
        <v>5.23</v>
      </c>
      <c r="F498" s="186">
        <v>5.08</v>
      </c>
      <c r="G498" s="186">
        <v>2.6940228949999998</v>
      </c>
    </row>
    <row r="499" spans="1:7" ht="14.4">
      <c r="A499" s="186">
        <v>498</v>
      </c>
      <c r="B499" s="186" t="s">
        <v>706</v>
      </c>
      <c r="C499" s="186" t="s">
        <v>707</v>
      </c>
      <c r="D499" s="186">
        <v>35.700000000000003</v>
      </c>
      <c r="E499" s="186">
        <v>5.03</v>
      </c>
      <c r="F499" s="186">
        <v>5.09</v>
      </c>
      <c r="G499" s="186">
        <v>2.6991550989999999</v>
      </c>
    </row>
    <row r="500" spans="1:7" ht="14.4">
      <c r="A500" s="186">
        <v>499</v>
      </c>
      <c r="B500" s="186" t="s">
        <v>162</v>
      </c>
      <c r="C500" s="186" t="s">
        <v>708</v>
      </c>
      <c r="D500" s="186">
        <v>177.1</v>
      </c>
      <c r="E500" s="186">
        <v>5.28</v>
      </c>
      <c r="F500" s="186">
        <v>5.09</v>
      </c>
      <c r="G500" s="186">
        <v>2.6991550989999999</v>
      </c>
    </row>
    <row r="501" spans="1:7" ht="14.4">
      <c r="A501" s="186">
        <v>500</v>
      </c>
      <c r="B501" s="186" t="s">
        <v>709</v>
      </c>
      <c r="C501" s="186" t="s">
        <v>710</v>
      </c>
      <c r="D501" s="186">
        <v>37.299999999999997</v>
      </c>
      <c r="E501" s="186">
        <v>5.4</v>
      </c>
      <c r="F501" s="186">
        <v>5.09</v>
      </c>
      <c r="G501" s="186">
        <v>2.6991550989999999</v>
      </c>
    </row>
    <row r="502" spans="1:7" ht="14.4">
      <c r="A502" s="186">
        <v>501</v>
      </c>
      <c r="B502" s="186" t="s">
        <v>352</v>
      </c>
      <c r="C502" s="186" t="s">
        <v>711</v>
      </c>
      <c r="D502" s="186">
        <v>229.2</v>
      </c>
      <c r="E502" s="186">
        <v>5.15</v>
      </c>
      <c r="F502" s="186">
        <v>5.09</v>
      </c>
      <c r="G502" s="186">
        <v>2.6991550989999999</v>
      </c>
    </row>
    <row r="503" spans="1:7" ht="14.4">
      <c r="A503" s="186">
        <v>502</v>
      </c>
      <c r="B503" s="186" t="s">
        <v>712</v>
      </c>
      <c r="C503" s="186" t="s">
        <v>713</v>
      </c>
      <c r="D503" s="186">
        <v>33</v>
      </c>
      <c r="E503" s="186">
        <v>5.26</v>
      </c>
      <c r="F503" s="186">
        <v>5.0999999999999996</v>
      </c>
      <c r="G503" s="186">
        <v>2.7042965899999998</v>
      </c>
    </row>
    <row r="504" spans="1:7" ht="14.4">
      <c r="A504" s="186">
        <v>503</v>
      </c>
      <c r="B504" s="186" t="s">
        <v>286</v>
      </c>
      <c r="C504" s="186" t="s">
        <v>714</v>
      </c>
      <c r="D504" s="186">
        <v>99.1</v>
      </c>
      <c r="E504" s="186">
        <v>5.33</v>
      </c>
      <c r="F504" s="186">
        <v>5.0999999999999996</v>
      </c>
      <c r="G504" s="186">
        <v>2.7042965899999998</v>
      </c>
    </row>
    <row r="505" spans="1:7" ht="14.4">
      <c r="A505" s="186">
        <v>504</v>
      </c>
      <c r="B505" s="186" t="s">
        <v>422</v>
      </c>
      <c r="C505" s="186" t="s">
        <v>715</v>
      </c>
      <c r="D505" s="186">
        <v>841.9</v>
      </c>
      <c r="E505" s="186">
        <v>5</v>
      </c>
      <c r="F505" s="186">
        <v>5.0999999999999996</v>
      </c>
      <c r="G505" s="186">
        <v>2.7042965899999998</v>
      </c>
    </row>
    <row r="506" spans="1:7" ht="14.4">
      <c r="A506" s="186">
        <v>505</v>
      </c>
      <c r="B506" s="186" t="s">
        <v>263</v>
      </c>
      <c r="C506" s="186" t="s">
        <v>716</v>
      </c>
      <c r="D506" s="186">
        <v>392.2</v>
      </c>
      <c r="E506" s="186">
        <v>4.8899999999999997</v>
      </c>
      <c r="F506" s="186">
        <v>5.1100000000000003</v>
      </c>
      <c r="G506" s="186">
        <v>2.7094473849999998</v>
      </c>
    </row>
    <row r="507" spans="1:7" ht="14.4">
      <c r="A507" s="186">
        <v>506</v>
      </c>
      <c r="B507" s="186" t="s">
        <v>226</v>
      </c>
      <c r="C507" s="186" t="s">
        <v>717</v>
      </c>
      <c r="D507" s="186">
        <v>17.600000000000001</v>
      </c>
      <c r="E507" s="186">
        <v>4.5599999999999996</v>
      </c>
      <c r="F507" s="186">
        <v>5.1100000000000003</v>
      </c>
      <c r="G507" s="186">
        <v>2.7094473849999998</v>
      </c>
    </row>
    <row r="508" spans="1:7" ht="14.4">
      <c r="A508" s="186">
        <v>507</v>
      </c>
      <c r="B508" s="186" t="s">
        <v>213</v>
      </c>
      <c r="C508" s="186" t="s">
        <v>718</v>
      </c>
      <c r="D508" s="186">
        <v>9.6999999999999993</v>
      </c>
      <c r="E508" s="186">
        <v>5.34</v>
      </c>
      <c r="F508" s="186">
        <v>5.1100000000000003</v>
      </c>
      <c r="G508" s="186">
        <v>2.7094473849999998</v>
      </c>
    </row>
    <row r="509" spans="1:7" ht="14.4">
      <c r="A509" s="186">
        <v>508</v>
      </c>
      <c r="B509" s="186" t="s">
        <v>213</v>
      </c>
      <c r="C509" s="186" t="s">
        <v>719</v>
      </c>
      <c r="D509" s="186">
        <v>18.5</v>
      </c>
      <c r="E509" s="186">
        <v>5.35</v>
      </c>
      <c r="F509" s="186">
        <v>5.1100000000000003</v>
      </c>
      <c r="G509" s="186">
        <v>2.7094473849999998</v>
      </c>
    </row>
    <row r="510" spans="1:7" ht="14.4">
      <c r="A510" s="186">
        <v>509</v>
      </c>
      <c r="B510" s="186" t="s">
        <v>352</v>
      </c>
      <c r="C510" s="186" t="s">
        <v>720</v>
      </c>
      <c r="D510" s="186">
        <v>87.7</v>
      </c>
      <c r="E510" s="186">
        <v>5.0599999999999996</v>
      </c>
      <c r="F510" s="186">
        <v>5.1100000000000003</v>
      </c>
      <c r="G510" s="186">
        <v>2.7094473849999998</v>
      </c>
    </row>
    <row r="511" spans="1:7" ht="14.4">
      <c r="A511" s="186">
        <v>510</v>
      </c>
      <c r="B511" s="186" t="s">
        <v>651</v>
      </c>
      <c r="C511" s="186" t="s">
        <v>721</v>
      </c>
      <c r="D511" s="186">
        <v>1.4</v>
      </c>
      <c r="E511" s="186">
        <v>5.42</v>
      </c>
      <c r="F511" s="186">
        <v>5.12</v>
      </c>
      <c r="G511" s="186">
        <v>2.7146074979999999</v>
      </c>
    </row>
    <row r="512" spans="1:7" ht="14.4">
      <c r="A512" s="186">
        <v>511</v>
      </c>
      <c r="B512" s="186" t="s">
        <v>319</v>
      </c>
      <c r="C512" s="186" t="s">
        <v>722</v>
      </c>
      <c r="D512" s="186">
        <v>5.8</v>
      </c>
      <c r="E512" s="186">
        <v>4.9800000000000004</v>
      </c>
      <c r="F512" s="186">
        <v>5.12</v>
      </c>
      <c r="G512" s="186">
        <v>2.7146074979999999</v>
      </c>
    </row>
    <row r="513" spans="1:7" ht="14.4">
      <c r="A513" s="186">
        <v>512</v>
      </c>
      <c r="B513" s="186" t="s">
        <v>319</v>
      </c>
      <c r="C513" s="186" t="s">
        <v>723</v>
      </c>
      <c r="D513" s="186">
        <v>29.5</v>
      </c>
      <c r="E513" s="186">
        <v>5.46</v>
      </c>
      <c r="F513" s="186">
        <v>5.12</v>
      </c>
      <c r="G513" s="186">
        <v>2.7146074979999999</v>
      </c>
    </row>
    <row r="514" spans="1:7" ht="14.4">
      <c r="A514" s="186">
        <v>513</v>
      </c>
      <c r="B514" s="186" t="s">
        <v>168</v>
      </c>
      <c r="C514" s="186" t="s">
        <v>724</v>
      </c>
      <c r="D514" s="186">
        <v>83.7</v>
      </c>
      <c r="E514" s="186">
        <v>5.24</v>
      </c>
      <c r="F514" s="186">
        <v>5.12</v>
      </c>
      <c r="G514" s="186">
        <v>2.7146074979999999</v>
      </c>
    </row>
    <row r="515" spans="1:7" ht="14.4">
      <c r="A515" s="186">
        <v>514</v>
      </c>
      <c r="B515" s="186" t="s">
        <v>131</v>
      </c>
      <c r="C515" s="186" t="s">
        <v>725</v>
      </c>
      <c r="D515" s="186">
        <v>39.700000000000003</v>
      </c>
      <c r="E515" s="186">
        <v>5.63</v>
      </c>
      <c r="F515" s="186">
        <v>5.12</v>
      </c>
      <c r="G515" s="186">
        <v>2.7146074979999999</v>
      </c>
    </row>
    <row r="516" spans="1:7" ht="14.4">
      <c r="A516" s="186">
        <v>515</v>
      </c>
      <c r="B516" s="186" t="s">
        <v>286</v>
      </c>
      <c r="C516" s="186" t="s">
        <v>726</v>
      </c>
      <c r="D516" s="186">
        <v>13.7</v>
      </c>
      <c r="E516" s="186">
        <v>5.37</v>
      </c>
      <c r="F516" s="186">
        <v>5.13</v>
      </c>
      <c r="G516" s="186">
        <v>2.7197769470000002</v>
      </c>
    </row>
    <row r="517" spans="1:7" ht="14.4">
      <c r="A517" s="186">
        <v>516</v>
      </c>
      <c r="B517" s="186" t="s">
        <v>420</v>
      </c>
      <c r="C517" s="186" t="s">
        <v>727</v>
      </c>
      <c r="D517" s="186">
        <v>268.60000000000002</v>
      </c>
      <c r="E517" s="186">
        <v>5.1100000000000003</v>
      </c>
      <c r="F517" s="186">
        <v>5.13</v>
      </c>
      <c r="G517" s="186">
        <v>2.7197769470000002</v>
      </c>
    </row>
    <row r="518" spans="1:7" ht="14.4">
      <c r="A518" s="186">
        <v>517</v>
      </c>
      <c r="B518" s="186" t="s">
        <v>728</v>
      </c>
      <c r="C518" s="186" t="s">
        <v>729</v>
      </c>
      <c r="D518" s="186">
        <v>131.80000000000001</v>
      </c>
      <c r="E518" s="186">
        <v>4.95</v>
      </c>
      <c r="F518" s="186">
        <v>5.14</v>
      </c>
      <c r="G518" s="186">
        <v>2.724955746</v>
      </c>
    </row>
    <row r="519" spans="1:7" ht="14.4">
      <c r="A519" s="186">
        <v>518</v>
      </c>
      <c r="B519" s="186" t="s">
        <v>309</v>
      </c>
      <c r="C519" s="186" t="s">
        <v>730</v>
      </c>
      <c r="D519" s="186">
        <v>221.6</v>
      </c>
      <c r="E519" s="186">
        <v>5.22</v>
      </c>
      <c r="F519" s="186">
        <v>5.15</v>
      </c>
      <c r="G519" s="186">
        <v>2.730143913</v>
      </c>
    </row>
    <row r="520" spans="1:7" ht="14.4">
      <c r="A520" s="186">
        <v>519</v>
      </c>
      <c r="B520" s="186" t="s">
        <v>677</v>
      </c>
      <c r="C520" s="186" t="s">
        <v>731</v>
      </c>
      <c r="D520" s="186">
        <v>36.4</v>
      </c>
      <c r="E520" s="186">
        <v>5.15</v>
      </c>
      <c r="F520" s="186">
        <v>5.15</v>
      </c>
      <c r="G520" s="186">
        <v>2.730143913</v>
      </c>
    </row>
    <row r="521" spans="1:7" ht="14.4">
      <c r="A521" s="186">
        <v>520</v>
      </c>
      <c r="B521" s="186" t="s">
        <v>732</v>
      </c>
      <c r="C521" s="186" t="s">
        <v>733</v>
      </c>
      <c r="D521" s="186">
        <v>120.4</v>
      </c>
      <c r="E521" s="186">
        <v>5.13</v>
      </c>
      <c r="F521" s="186">
        <v>5.16</v>
      </c>
      <c r="G521" s="186">
        <v>2.7353414630000001</v>
      </c>
    </row>
    <row r="522" spans="1:7" ht="14.4">
      <c r="A522" s="186">
        <v>521</v>
      </c>
      <c r="B522" s="186" t="s">
        <v>422</v>
      </c>
      <c r="C522" s="186" t="s">
        <v>734</v>
      </c>
      <c r="D522" s="186">
        <v>107.6</v>
      </c>
      <c r="E522" s="186">
        <v>5.36</v>
      </c>
      <c r="F522" s="186">
        <v>5.16</v>
      </c>
      <c r="G522" s="186">
        <v>2.7353414630000001</v>
      </c>
    </row>
    <row r="523" spans="1:7" ht="14.4">
      <c r="A523" s="186">
        <v>522</v>
      </c>
      <c r="B523" s="186" t="s">
        <v>365</v>
      </c>
      <c r="C523" s="186" t="s">
        <v>735</v>
      </c>
      <c r="D523" s="186">
        <v>160.30000000000001</v>
      </c>
      <c r="E523" s="186">
        <v>5.14</v>
      </c>
      <c r="F523" s="186">
        <v>5.16</v>
      </c>
      <c r="G523" s="186">
        <v>2.7353414630000001</v>
      </c>
    </row>
    <row r="524" spans="1:7" ht="14.4">
      <c r="A524" s="186">
        <v>523</v>
      </c>
      <c r="B524" s="186" t="s">
        <v>736</v>
      </c>
      <c r="C524" s="186" t="s">
        <v>737</v>
      </c>
      <c r="D524" s="186">
        <v>7</v>
      </c>
      <c r="E524" s="186">
        <v>5.55</v>
      </c>
      <c r="F524" s="186">
        <v>5.16</v>
      </c>
      <c r="G524" s="186">
        <v>2.7353414630000001</v>
      </c>
    </row>
    <row r="525" spans="1:7" ht="14.4">
      <c r="A525" s="186">
        <v>524</v>
      </c>
      <c r="B525" s="186" t="s">
        <v>213</v>
      </c>
      <c r="C525" s="186" t="s">
        <v>738</v>
      </c>
      <c r="D525" s="186">
        <v>47.9</v>
      </c>
      <c r="E525" s="186">
        <v>5.23</v>
      </c>
      <c r="F525" s="186">
        <v>5.16</v>
      </c>
      <c r="G525" s="186">
        <v>2.7353414630000001</v>
      </c>
    </row>
    <row r="526" spans="1:7" ht="14.4">
      <c r="A526" s="186">
        <v>525</v>
      </c>
      <c r="B526" s="186" t="s">
        <v>213</v>
      </c>
      <c r="C526" s="186" t="s">
        <v>739</v>
      </c>
      <c r="D526" s="186">
        <v>51.6</v>
      </c>
      <c r="E526" s="186">
        <v>5.25</v>
      </c>
      <c r="F526" s="186">
        <v>5.16</v>
      </c>
      <c r="G526" s="186">
        <v>2.7353414630000001</v>
      </c>
    </row>
    <row r="527" spans="1:7" ht="14.4">
      <c r="A527" s="186">
        <v>526</v>
      </c>
      <c r="B527" s="186" t="s">
        <v>547</v>
      </c>
      <c r="C527" s="186" t="s">
        <v>740</v>
      </c>
      <c r="D527" s="186">
        <v>12</v>
      </c>
      <c r="E527" s="186">
        <v>5.58</v>
      </c>
      <c r="F527" s="186">
        <v>5.16</v>
      </c>
      <c r="G527" s="186">
        <v>2.7353414630000001</v>
      </c>
    </row>
    <row r="528" spans="1:7" ht="14.4">
      <c r="A528" s="186">
        <v>527</v>
      </c>
      <c r="B528" s="186" t="s">
        <v>241</v>
      </c>
      <c r="C528" s="186" t="s">
        <v>741</v>
      </c>
      <c r="D528" s="186">
        <v>1</v>
      </c>
      <c r="E528" s="186">
        <v>5.71</v>
      </c>
      <c r="F528" s="186">
        <v>5.17</v>
      </c>
      <c r="G528" s="186">
        <v>2.7405484119999999</v>
      </c>
    </row>
    <row r="529" spans="1:7" ht="14.4">
      <c r="A529" s="186">
        <v>528</v>
      </c>
      <c r="B529" s="186" t="s">
        <v>742</v>
      </c>
      <c r="C529" s="186" t="s">
        <v>743</v>
      </c>
      <c r="D529" s="186">
        <v>53.6</v>
      </c>
      <c r="E529" s="186">
        <v>5.13</v>
      </c>
      <c r="F529" s="186">
        <v>5.17</v>
      </c>
      <c r="G529" s="186">
        <v>2.7405484119999999</v>
      </c>
    </row>
    <row r="530" spans="1:7" ht="14.4">
      <c r="A530" s="186">
        <v>529</v>
      </c>
      <c r="B530" s="186" t="s">
        <v>286</v>
      </c>
      <c r="C530" s="186" t="s">
        <v>744</v>
      </c>
      <c r="D530" s="186">
        <v>229.4</v>
      </c>
      <c r="E530" s="186">
        <v>5.58</v>
      </c>
      <c r="F530" s="186">
        <v>5.17</v>
      </c>
      <c r="G530" s="186">
        <v>2.7405484119999999</v>
      </c>
    </row>
    <row r="531" spans="1:7" ht="14.4">
      <c r="A531" s="186">
        <v>530</v>
      </c>
      <c r="B531" s="186" t="s">
        <v>252</v>
      </c>
      <c r="C531" s="186" t="s">
        <v>745</v>
      </c>
      <c r="D531" s="186">
        <v>34.700000000000003</v>
      </c>
      <c r="E531" s="186">
        <v>5.0199999999999996</v>
      </c>
      <c r="F531" s="186">
        <v>5.17</v>
      </c>
      <c r="G531" s="186">
        <v>2.7405484119999999</v>
      </c>
    </row>
    <row r="532" spans="1:7" ht="14.4">
      <c r="A532" s="186">
        <v>531</v>
      </c>
      <c r="B532" s="186" t="s">
        <v>210</v>
      </c>
      <c r="C532" s="186" t="s">
        <v>746</v>
      </c>
      <c r="D532" s="186">
        <v>505.1</v>
      </c>
      <c r="E532" s="186">
        <v>5.0599999999999996</v>
      </c>
      <c r="F532" s="186">
        <v>5.17</v>
      </c>
      <c r="G532" s="186">
        <v>2.7405484119999999</v>
      </c>
    </row>
    <row r="533" spans="1:7" ht="14.4">
      <c r="A533" s="186">
        <v>532</v>
      </c>
      <c r="B533" s="186" t="s">
        <v>747</v>
      </c>
      <c r="C533" s="186" t="s">
        <v>748</v>
      </c>
      <c r="D533" s="186">
        <v>63.7</v>
      </c>
      <c r="E533" s="186">
        <v>5.52</v>
      </c>
      <c r="F533" s="186">
        <v>5.17</v>
      </c>
      <c r="G533" s="186">
        <v>2.7405484119999999</v>
      </c>
    </row>
    <row r="534" spans="1:7" ht="14.4">
      <c r="A534" s="186">
        <v>533</v>
      </c>
      <c r="B534" s="186" t="s">
        <v>749</v>
      </c>
      <c r="C534" s="186" t="s">
        <v>750</v>
      </c>
      <c r="D534" s="186">
        <v>47.7</v>
      </c>
      <c r="E534" s="186">
        <v>5.21</v>
      </c>
      <c r="F534" s="186">
        <v>5.17</v>
      </c>
      <c r="G534" s="186">
        <v>2.7405484119999999</v>
      </c>
    </row>
    <row r="535" spans="1:7" ht="14.4">
      <c r="A535" s="186">
        <v>534</v>
      </c>
      <c r="B535" s="186" t="s">
        <v>547</v>
      </c>
      <c r="C535" s="186" t="s">
        <v>751</v>
      </c>
      <c r="D535" s="186">
        <v>94.4</v>
      </c>
      <c r="E535" s="186">
        <v>5.31</v>
      </c>
      <c r="F535" s="186">
        <v>5.17</v>
      </c>
      <c r="G535" s="186">
        <v>2.7405484119999999</v>
      </c>
    </row>
    <row r="536" spans="1:7" ht="14.4">
      <c r="A536" s="186">
        <v>535</v>
      </c>
      <c r="B536" s="186" t="s">
        <v>286</v>
      </c>
      <c r="C536" s="186" t="s">
        <v>752</v>
      </c>
      <c r="D536" s="186">
        <v>477.5</v>
      </c>
      <c r="E536" s="186">
        <v>5.21</v>
      </c>
      <c r="F536" s="186">
        <v>5.18</v>
      </c>
      <c r="G536" s="186">
        <v>2.7457647770000002</v>
      </c>
    </row>
    <row r="537" spans="1:7" ht="14.4">
      <c r="A537" s="186">
        <v>536</v>
      </c>
      <c r="B537" s="186" t="s">
        <v>153</v>
      </c>
      <c r="C537" s="186" t="s">
        <v>753</v>
      </c>
      <c r="D537" s="186">
        <v>66.900000000000006</v>
      </c>
      <c r="E537" s="186">
        <v>5.49</v>
      </c>
      <c r="F537" s="186">
        <v>5.18</v>
      </c>
      <c r="G537" s="186">
        <v>2.7457647770000002</v>
      </c>
    </row>
    <row r="538" spans="1:7" ht="14.4">
      <c r="A538" s="186">
        <v>537</v>
      </c>
      <c r="B538" s="186" t="s">
        <v>365</v>
      </c>
      <c r="C538" s="186" t="s">
        <v>754</v>
      </c>
      <c r="D538" s="186">
        <v>150</v>
      </c>
      <c r="E538" s="186">
        <v>5.16</v>
      </c>
      <c r="F538" s="186">
        <v>5.18</v>
      </c>
      <c r="G538" s="186">
        <v>2.7457647770000002</v>
      </c>
    </row>
    <row r="539" spans="1:7" ht="14.4">
      <c r="A539" s="186">
        <v>538</v>
      </c>
      <c r="B539" s="186" t="s">
        <v>293</v>
      </c>
      <c r="C539" s="186" t="s">
        <v>755</v>
      </c>
      <c r="D539" s="186">
        <v>64.2</v>
      </c>
      <c r="E539" s="186">
        <v>5.15</v>
      </c>
      <c r="F539" s="186">
        <v>5.18</v>
      </c>
      <c r="G539" s="186">
        <v>2.7457647770000002</v>
      </c>
    </row>
    <row r="540" spans="1:7" ht="14.4">
      <c r="A540" s="186">
        <v>539</v>
      </c>
      <c r="B540" s="186" t="s">
        <v>178</v>
      </c>
      <c r="C540" s="186" t="s">
        <v>756</v>
      </c>
      <c r="D540" s="186">
        <v>0.9</v>
      </c>
      <c r="E540" s="186">
        <v>5.3</v>
      </c>
      <c r="F540" s="186">
        <v>5.19</v>
      </c>
      <c r="G540" s="186">
        <v>2.7509905730000002</v>
      </c>
    </row>
    <row r="541" spans="1:7" ht="14.4">
      <c r="A541" s="186">
        <v>540</v>
      </c>
      <c r="B541" s="186" t="s">
        <v>162</v>
      </c>
      <c r="C541" s="186" t="s">
        <v>757</v>
      </c>
      <c r="D541" s="186">
        <v>15</v>
      </c>
      <c r="E541" s="186">
        <v>5.37</v>
      </c>
      <c r="F541" s="186">
        <v>5.19</v>
      </c>
      <c r="G541" s="186">
        <v>2.7509905730000002</v>
      </c>
    </row>
    <row r="542" spans="1:7" ht="14.4">
      <c r="A542" s="186">
        <v>541</v>
      </c>
      <c r="B542" s="186" t="s">
        <v>158</v>
      </c>
      <c r="C542" s="186" t="s">
        <v>758</v>
      </c>
      <c r="D542" s="186">
        <v>165.4</v>
      </c>
      <c r="E542" s="186">
        <v>5.24</v>
      </c>
      <c r="F542" s="186">
        <v>5.19</v>
      </c>
      <c r="G542" s="186">
        <v>2.7509905730000002</v>
      </c>
    </row>
    <row r="543" spans="1:7" ht="14.4">
      <c r="A543" s="186">
        <v>542</v>
      </c>
      <c r="B543" s="186" t="s">
        <v>477</v>
      </c>
      <c r="C543" s="186" t="s">
        <v>759</v>
      </c>
      <c r="D543" s="186">
        <v>168.6</v>
      </c>
      <c r="E543" s="186">
        <v>4.67</v>
      </c>
      <c r="F543" s="186">
        <v>5.19</v>
      </c>
      <c r="G543" s="186">
        <v>2.7509905730000002</v>
      </c>
    </row>
    <row r="544" spans="1:7" ht="14.4">
      <c r="A544" s="186">
        <v>543</v>
      </c>
      <c r="B544" s="186" t="s">
        <v>241</v>
      </c>
      <c r="C544" s="186" t="s">
        <v>760</v>
      </c>
      <c r="D544" s="186">
        <v>36.799999999999997</v>
      </c>
      <c r="E544" s="186">
        <v>5.74</v>
      </c>
      <c r="F544" s="186">
        <v>5.2</v>
      </c>
      <c r="G544" s="186">
        <v>2.7562258169999998</v>
      </c>
    </row>
    <row r="545" spans="1:7" ht="14.4">
      <c r="A545" s="186">
        <v>544</v>
      </c>
      <c r="B545" s="186" t="s">
        <v>210</v>
      </c>
      <c r="C545" s="186" t="s">
        <v>761</v>
      </c>
      <c r="D545" s="186">
        <v>28.2</v>
      </c>
      <c r="E545" s="186">
        <v>5.52</v>
      </c>
      <c r="F545" s="186">
        <v>5.2</v>
      </c>
      <c r="G545" s="186">
        <v>2.7562258169999998</v>
      </c>
    </row>
    <row r="546" spans="1:7" ht="14.4">
      <c r="A546" s="186">
        <v>545</v>
      </c>
      <c r="B546" s="186" t="s">
        <v>213</v>
      </c>
      <c r="C546" s="186" t="s">
        <v>762</v>
      </c>
      <c r="D546" s="186">
        <v>676.6</v>
      </c>
      <c r="E546" s="186">
        <v>5.03</v>
      </c>
      <c r="F546" s="186">
        <v>5.2</v>
      </c>
      <c r="G546" s="186">
        <v>2.7562258169999998</v>
      </c>
    </row>
    <row r="547" spans="1:7" ht="14.4">
      <c r="A547" s="186">
        <v>546</v>
      </c>
      <c r="B547" s="186" t="s">
        <v>162</v>
      </c>
      <c r="C547" s="186" t="s">
        <v>763</v>
      </c>
      <c r="D547" s="186">
        <v>50.9</v>
      </c>
      <c r="E547" s="186">
        <v>5.0199999999999996</v>
      </c>
      <c r="F547" s="186">
        <v>5.21</v>
      </c>
      <c r="G547" s="186">
        <v>2.761470525</v>
      </c>
    </row>
    <row r="548" spans="1:7" ht="14.4">
      <c r="A548" s="186">
        <v>547</v>
      </c>
      <c r="B548" s="186" t="s">
        <v>175</v>
      </c>
      <c r="C548" s="186" t="s">
        <v>764</v>
      </c>
      <c r="D548" s="186">
        <v>503.1</v>
      </c>
      <c r="E548" s="186">
        <v>5.12</v>
      </c>
      <c r="F548" s="186">
        <v>5.21</v>
      </c>
      <c r="G548" s="186">
        <v>2.761470525</v>
      </c>
    </row>
    <row r="549" spans="1:7" ht="14.4">
      <c r="A549" s="186">
        <v>548</v>
      </c>
      <c r="B549" s="186" t="s">
        <v>553</v>
      </c>
      <c r="C549" s="186" t="s">
        <v>765</v>
      </c>
      <c r="D549" s="186">
        <v>34.799999999999997</v>
      </c>
      <c r="E549" s="186">
        <v>5.26</v>
      </c>
      <c r="F549" s="186">
        <v>5.21</v>
      </c>
      <c r="G549" s="186">
        <v>2.761470525</v>
      </c>
    </row>
    <row r="550" spans="1:7" ht="14.4">
      <c r="A550" s="186">
        <v>549</v>
      </c>
      <c r="B550" s="186" t="s">
        <v>565</v>
      </c>
      <c r="C550" s="186" t="s">
        <v>766</v>
      </c>
      <c r="D550" s="186">
        <v>75</v>
      </c>
      <c r="E550" s="186">
        <v>5.54</v>
      </c>
      <c r="F550" s="186">
        <v>5.21</v>
      </c>
      <c r="G550" s="186">
        <v>2.761470525</v>
      </c>
    </row>
    <row r="551" spans="1:7" ht="14.4">
      <c r="A551" s="186">
        <v>550</v>
      </c>
      <c r="B551" s="186" t="s">
        <v>767</v>
      </c>
      <c r="C551" s="186" t="s">
        <v>768</v>
      </c>
      <c r="D551" s="186">
        <v>48.6</v>
      </c>
      <c r="E551" s="186">
        <v>5.6</v>
      </c>
      <c r="F551" s="186">
        <v>5.21</v>
      </c>
      <c r="G551" s="186">
        <v>2.761470525</v>
      </c>
    </row>
    <row r="552" spans="1:7" ht="14.4">
      <c r="A552" s="186">
        <v>551</v>
      </c>
      <c r="B552" s="186" t="s">
        <v>158</v>
      </c>
      <c r="C552" s="186" t="s">
        <v>769</v>
      </c>
      <c r="D552" s="186">
        <v>8.1999999999999993</v>
      </c>
      <c r="E552" s="186">
        <v>5.26</v>
      </c>
      <c r="F552" s="186">
        <v>5.22</v>
      </c>
      <c r="G552" s="186">
        <v>2.7667247119999998</v>
      </c>
    </row>
    <row r="553" spans="1:7" ht="14.4">
      <c r="A553" s="186">
        <v>552</v>
      </c>
      <c r="B553" s="186" t="s">
        <v>317</v>
      </c>
      <c r="C553" s="186" t="s">
        <v>770</v>
      </c>
      <c r="D553" s="186">
        <v>353.3</v>
      </c>
      <c r="E553" s="186">
        <v>5.07</v>
      </c>
      <c r="F553" s="186">
        <v>5.22</v>
      </c>
      <c r="G553" s="186">
        <v>2.7667247119999998</v>
      </c>
    </row>
    <row r="554" spans="1:7" ht="14.4">
      <c r="A554" s="186">
        <v>553</v>
      </c>
      <c r="B554" s="186" t="s">
        <v>340</v>
      </c>
      <c r="C554" s="186" t="s">
        <v>771</v>
      </c>
      <c r="D554" s="186">
        <v>224.4</v>
      </c>
      <c r="E554" s="186">
        <v>5.12</v>
      </c>
      <c r="F554" s="186">
        <v>5.22</v>
      </c>
      <c r="G554" s="186">
        <v>2.7667247119999998</v>
      </c>
    </row>
    <row r="555" spans="1:7" ht="14.4">
      <c r="A555" s="186">
        <v>554</v>
      </c>
      <c r="B555" s="186" t="s">
        <v>602</v>
      </c>
      <c r="C555" s="186" t="s">
        <v>772</v>
      </c>
      <c r="D555" s="186">
        <v>41.6</v>
      </c>
      <c r="E555" s="186">
        <v>5.49</v>
      </c>
      <c r="F555" s="186">
        <v>5.23</v>
      </c>
      <c r="G555" s="186">
        <v>2.7719883959999998</v>
      </c>
    </row>
    <row r="556" spans="1:7" ht="14.4">
      <c r="A556" s="186">
        <v>555</v>
      </c>
      <c r="B556" s="186" t="s">
        <v>112</v>
      </c>
      <c r="C556" s="186" t="s">
        <v>773</v>
      </c>
      <c r="D556" s="186">
        <v>425.2</v>
      </c>
      <c r="E556" s="186">
        <v>5.5</v>
      </c>
      <c r="F556" s="186">
        <v>5.23</v>
      </c>
      <c r="G556" s="186">
        <v>2.7719883959999998</v>
      </c>
    </row>
    <row r="557" spans="1:7" ht="14.4">
      <c r="A557" s="186">
        <v>556</v>
      </c>
      <c r="B557" s="186" t="s">
        <v>138</v>
      </c>
      <c r="C557" s="186" t="s">
        <v>774</v>
      </c>
      <c r="D557" s="186">
        <v>4.2</v>
      </c>
      <c r="E557" s="186">
        <v>5.63</v>
      </c>
      <c r="F557" s="186">
        <v>5.23</v>
      </c>
      <c r="G557" s="186">
        <v>2.7719883959999998</v>
      </c>
    </row>
    <row r="558" spans="1:7" ht="14.4">
      <c r="A558" s="186">
        <v>557</v>
      </c>
      <c r="B558" s="186" t="s">
        <v>536</v>
      </c>
      <c r="C558" s="186" t="s">
        <v>775</v>
      </c>
      <c r="D558" s="186">
        <v>16.7</v>
      </c>
      <c r="E558" s="186">
        <v>5.32</v>
      </c>
      <c r="F558" s="186">
        <v>5.23</v>
      </c>
      <c r="G558" s="186">
        <v>2.7719883959999998</v>
      </c>
    </row>
    <row r="559" spans="1:7" ht="14.4">
      <c r="A559" s="186">
        <v>558</v>
      </c>
      <c r="B559" s="186" t="s">
        <v>263</v>
      </c>
      <c r="C559" s="186" t="s">
        <v>776</v>
      </c>
      <c r="D559" s="186">
        <v>604</v>
      </c>
      <c r="E559" s="186">
        <v>5.29</v>
      </c>
      <c r="F559" s="186">
        <v>5.23</v>
      </c>
      <c r="G559" s="186">
        <v>2.7719883959999998</v>
      </c>
    </row>
    <row r="560" spans="1:7" ht="14.4">
      <c r="A560" s="186">
        <v>559</v>
      </c>
      <c r="B560" s="186" t="s">
        <v>197</v>
      </c>
      <c r="C560" s="186" t="s">
        <v>777</v>
      </c>
      <c r="D560" s="186">
        <v>16.5</v>
      </c>
      <c r="E560" s="186">
        <v>5.51</v>
      </c>
      <c r="F560" s="186">
        <v>5.23</v>
      </c>
      <c r="G560" s="186">
        <v>2.7719883959999998</v>
      </c>
    </row>
    <row r="561" spans="1:7" ht="14.4">
      <c r="A561" s="186">
        <v>560</v>
      </c>
      <c r="B561" s="186" t="s">
        <v>146</v>
      </c>
      <c r="C561" s="186" t="s">
        <v>778</v>
      </c>
      <c r="D561" s="186">
        <v>33</v>
      </c>
      <c r="E561" s="186">
        <v>5.61</v>
      </c>
      <c r="F561" s="186">
        <v>5.23</v>
      </c>
      <c r="G561" s="186">
        <v>2.7719883959999998</v>
      </c>
    </row>
    <row r="562" spans="1:7" ht="14.4">
      <c r="A562" s="186">
        <v>561</v>
      </c>
      <c r="B562" s="186" t="s">
        <v>158</v>
      </c>
      <c r="C562" s="186" t="s">
        <v>779</v>
      </c>
      <c r="D562" s="186">
        <v>110.9</v>
      </c>
      <c r="E562" s="186">
        <v>5.5</v>
      </c>
      <c r="F562" s="186">
        <v>5.23</v>
      </c>
      <c r="G562" s="186">
        <v>2.7719883959999998</v>
      </c>
    </row>
    <row r="563" spans="1:7" ht="14.4">
      <c r="A563" s="186">
        <v>562</v>
      </c>
      <c r="B563" s="186" t="s">
        <v>280</v>
      </c>
      <c r="C563" s="186" t="s">
        <v>780</v>
      </c>
      <c r="D563" s="187">
        <v>1217.0999999999999</v>
      </c>
      <c r="E563" s="186">
        <v>4.72</v>
      </c>
      <c r="F563" s="186">
        <v>5.23</v>
      </c>
      <c r="G563" s="186">
        <v>2.7719883959999998</v>
      </c>
    </row>
    <row r="564" spans="1:7" ht="14.4">
      <c r="A564" s="186">
        <v>563</v>
      </c>
      <c r="B564" s="186" t="s">
        <v>162</v>
      </c>
      <c r="C564" s="186" t="s">
        <v>781</v>
      </c>
      <c r="D564" s="187">
        <v>3024</v>
      </c>
      <c r="E564" s="186">
        <v>5.44</v>
      </c>
      <c r="F564" s="186">
        <v>5.24</v>
      </c>
      <c r="G564" s="186">
        <v>2.777261593</v>
      </c>
    </row>
    <row r="565" spans="1:7" ht="14.4">
      <c r="A565" s="186">
        <v>564</v>
      </c>
      <c r="B565" s="186" t="s">
        <v>175</v>
      </c>
      <c r="C565" s="186" t="s">
        <v>782</v>
      </c>
      <c r="D565" s="186">
        <v>208.7</v>
      </c>
      <c r="E565" s="186">
        <v>5.37</v>
      </c>
      <c r="F565" s="186">
        <v>5.24</v>
      </c>
      <c r="G565" s="186">
        <v>2.777261593</v>
      </c>
    </row>
    <row r="566" spans="1:7" ht="14.4">
      <c r="A566" s="186">
        <v>565</v>
      </c>
      <c r="B566" s="186" t="s">
        <v>415</v>
      </c>
      <c r="C566" s="186" t="s">
        <v>783</v>
      </c>
      <c r="D566" s="186">
        <v>321.3</v>
      </c>
      <c r="E566" s="186">
        <v>4.9400000000000004</v>
      </c>
      <c r="F566" s="186">
        <v>5.24</v>
      </c>
      <c r="G566" s="186">
        <v>2.777261593</v>
      </c>
    </row>
    <row r="567" spans="1:7" ht="14.4">
      <c r="A567" s="186">
        <v>566</v>
      </c>
      <c r="B567" s="186" t="s">
        <v>420</v>
      </c>
      <c r="C567" s="186" t="s">
        <v>784</v>
      </c>
      <c r="D567" s="186">
        <v>300.7</v>
      </c>
      <c r="E567" s="186">
        <v>4.8099999999999996</v>
      </c>
      <c r="F567" s="186">
        <v>5.24</v>
      </c>
      <c r="G567" s="186">
        <v>2.777261593</v>
      </c>
    </row>
    <row r="568" spans="1:7" ht="14.4">
      <c r="A568" s="186">
        <v>567</v>
      </c>
      <c r="B568" s="186" t="s">
        <v>184</v>
      </c>
      <c r="C568" s="186" t="s">
        <v>785</v>
      </c>
      <c r="D568" s="187">
        <v>9150.4</v>
      </c>
      <c r="E568" s="186">
        <v>5.05</v>
      </c>
      <c r="F568" s="186">
        <v>5.24</v>
      </c>
      <c r="G568" s="186">
        <v>2.777261593</v>
      </c>
    </row>
    <row r="569" spans="1:7" ht="14.4">
      <c r="A569" s="186">
        <v>568</v>
      </c>
      <c r="B569" s="186" t="s">
        <v>612</v>
      </c>
      <c r="C569" s="186" t="s">
        <v>786</v>
      </c>
      <c r="D569" s="186">
        <v>6.2</v>
      </c>
      <c r="E569" s="186">
        <v>5.16</v>
      </c>
      <c r="F569" s="186">
        <v>5.25</v>
      </c>
      <c r="G569" s="186">
        <v>2.7825443179999998</v>
      </c>
    </row>
    <row r="570" spans="1:7" ht="14.4">
      <c r="A570" s="186">
        <v>569</v>
      </c>
      <c r="B570" s="186" t="s">
        <v>162</v>
      </c>
      <c r="C570" s="186" t="s">
        <v>787</v>
      </c>
      <c r="D570" s="186">
        <v>24.8</v>
      </c>
      <c r="E570" s="186">
        <v>5.2</v>
      </c>
      <c r="F570" s="186">
        <v>5.25</v>
      </c>
      <c r="G570" s="186">
        <v>2.7825443179999998</v>
      </c>
    </row>
    <row r="571" spans="1:7" ht="14.4">
      <c r="A571" s="186">
        <v>570</v>
      </c>
      <c r="B571" s="186" t="s">
        <v>252</v>
      </c>
      <c r="C571" s="186" t="s">
        <v>788</v>
      </c>
      <c r="D571" s="186">
        <v>11.5</v>
      </c>
      <c r="E571" s="186">
        <v>5.41</v>
      </c>
      <c r="F571" s="186">
        <v>5.25</v>
      </c>
      <c r="G571" s="186">
        <v>2.7825443179999998</v>
      </c>
    </row>
    <row r="572" spans="1:7" ht="14.4">
      <c r="A572" s="186">
        <v>571</v>
      </c>
      <c r="B572" s="186" t="s">
        <v>175</v>
      </c>
      <c r="C572" s="186" t="s">
        <v>789</v>
      </c>
      <c r="D572" s="186">
        <v>3.3</v>
      </c>
      <c r="E572" s="186">
        <v>5.53</v>
      </c>
      <c r="F572" s="186">
        <v>5.25</v>
      </c>
      <c r="G572" s="186">
        <v>2.7825443179999998</v>
      </c>
    </row>
    <row r="573" spans="1:7" ht="14.4">
      <c r="A573" s="186">
        <v>572</v>
      </c>
      <c r="B573" s="186" t="s">
        <v>263</v>
      </c>
      <c r="C573" s="186" t="s">
        <v>790</v>
      </c>
      <c r="D573" s="186">
        <v>150.6</v>
      </c>
      <c r="E573" s="186">
        <v>5.25</v>
      </c>
      <c r="F573" s="186">
        <v>5.25</v>
      </c>
      <c r="G573" s="186">
        <v>2.7825443179999998</v>
      </c>
    </row>
    <row r="574" spans="1:7" ht="14.4">
      <c r="A574" s="186">
        <v>573</v>
      </c>
      <c r="B574" s="186" t="s">
        <v>146</v>
      </c>
      <c r="C574" s="186" t="s">
        <v>791</v>
      </c>
      <c r="D574" s="187">
        <v>2384</v>
      </c>
      <c r="E574" s="186">
        <v>5.0199999999999996</v>
      </c>
      <c r="F574" s="186">
        <v>5.25</v>
      </c>
      <c r="G574" s="186">
        <v>2.7825443179999998</v>
      </c>
    </row>
    <row r="575" spans="1:7" ht="14.4">
      <c r="A575" s="186">
        <v>574</v>
      </c>
      <c r="B575" s="186" t="s">
        <v>293</v>
      </c>
      <c r="C575" s="186" t="s">
        <v>792</v>
      </c>
      <c r="D575" s="186">
        <v>188.4</v>
      </c>
      <c r="E575" s="186">
        <v>5.22</v>
      </c>
      <c r="F575" s="186">
        <v>5.25</v>
      </c>
      <c r="G575" s="186">
        <v>2.7825443179999998</v>
      </c>
    </row>
    <row r="576" spans="1:7" ht="14.4">
      <c r="A576" s="186">
        <v>575</v>
      </c>
      <c r="B576" s="186" t="s">
        <v>677</v>
      </c>
      <c r="C576" s="186" t="s">
        <v>793</v>
      </c>
      <c r="D576" s="186">
        <v>86.5</v>
      </c>
      <c r="E576" s="186">
        <v>5.51</v>
      </c>
      <c r="F576" s="186">
        <v>5.25</v>
      </c>
      <c r="G576" s="186">
        <v>2.7825443179999998</v>
      </c>
    </row>
    <row r="577" spans="1:7" ht="14.4">
      <c r="A577" s="186">
        <v>576</v>
      </c>
      <c r="B577" s="186" t="s">
        <v>213</v>
      </c>
      <c r="C577" s="186" t="s">
        <v>794</v>
      </c>
      <c r="D577" s="187">
        <v>1516.2</v>
      </c>
      <c r="E577" s="186">
        <v>5.27</v>
      </c>
      <c r="F577" s="186">
        <v>5.25</v>
      </c>
      <c r="G577" s="186">
        <v>2.7825443179999998</v>
      </c>
    </row>
    <row r="578" spans="1:7" ht="14.4">
      <c r="A578" s="186">
        <v>577</v>
      </c>
      <c r="B578" s="186" t="s">
        <v>663</v>
      </c>
      <c r="C578" s="186" t="s">
        <v>795</v>
      </c>
      <c r="D578" s="186">
        <v>267.10000000000002</v>
      </c>
      <c r="E578" s="186">
        <v>5.43</v>
      </c>
      <c r="F578" s="186">
        <v>5.25</v>
      </c>
      <c r="G578" s="186">
        <v>2.7825443179999998</v>
      </c>
    </row>
    <row r="579" spans="1:7" ht="14.4">
      <c r="A579" s="186">
        <v>578</v>
      </c>
      <c r="B579" s="186" t="s">
        <v>187</v>
      </c>
      <c r="C579" s="186" t="s">
        <v>796</v>
      </c>
      <c r="D579" s="187">
        <v>1368</v>
      </c>
      <c r="E579" s="186">
        <v>5.21</v>
      </c>
      <c r="F579" s="186">
        <v>5.25</v>
      </c>
      <c r="G579" s="186">
        <v>2.7825443179999998</v>
      </c>
    </row>
    <row r="580" spans="1:7" ht="14.4">
      <c r="A580" s="186">
        <v>579</v>
      </c>
      <c r="B580" s="186" t="s">
        <v>138</v>
      </c>
      <c r="C580" s="186" t="s">
        <v>797</v>
      </c>
      <c r="D580" s="186">
        <v>14.8</v>
      </c>
      <c r="E580" s="186">
        <v>5.7</v>
      </c>
      <c r="F580" s="186">
        <v>5.26</v>
      </c>
      <c r="G580" s="186">
        <v>2.7878365889999999</v>
      </c>
    </row>
    <row r="581" spans="1:7" ht="14.4">
      <c r="A581" s="186">
        <v>580</v>
      </c>
      <c r="B581" s="186" t="s">
        <v>551</v>
      </c>
      <c r="C581" s="186" t="s">
        <v>798</v>
      </c>
      <c r="D581" s="186">
        <v>33.700000000000003</v>
      </c>
      <c r="E581" s="186">
        <v>5.49</v>
      </c>
      <c r="F581" s="186">
        <v>5.26</v>
      </c>
      <c r="G581" s="186">
        <v>2.7878365889999999</v>
      </c>
    </row>
    <row r="582" spans="1:7" ht="14.4">
      <c r="A582" s="186">
        <v>581</v>
      </c>
      <c r="B582" s="186" t="s">
        <v>799</v>
      </c>
      <c r="C582" s="186" t="s">
        <v>800</v>
      </c>
      <c r="D582" s="186">
        <v>55.4</v>
      </c>
      <c r="E582" s="186">
        <v>5.47</v>
      </c>
      <c r="F582" s="186">
        <v>5.26</v>
      </c>
      <c r="G582" s="186">
        <v>2.7878365889999999</v>
      </c>
    </row>
    <row r="583" spans="1:7" ht="14.4">
      <c r="A583" s="186">
        <v>582</v>
      </c>
      <c r="B583" s="186" t="s">
        <v>801</v>
      </c>
      <c r="C583" s="186" t="s">
        <v>802</v>
      </c>
      <c r="D583" s="186">
        <v>3.2</v>
      </c>
      <c r="E583" s="186">
        <v>5.45</v>
      </c>
      <c r="F583" s="186">
        <v>5.26</v>
      </c>
      <c r="G583" s="186">
        <v>2.7878365889999999</v>
      </c>
    </row>
    <row r="584" spans="1:7" ht="14.4">
      <c r="A584" s="186">
        <v>583</v>
      </c>
      <c r="B584" s="186" t="s">
        <v>263</v>
      </c>
      <c r="C584" s="186" t="s">
        <v>803</v>
      </c>
      <c r="D584" s="186">
        <v>143</v>
      </c>
      <c r="E584" s="186">
        <v>5.44</v>
      </c>
      <c r="F584" s="186">
        <v>5.27</v>
      </c>
      <c r="G584" s="186">
        <v>2.79313842</v>
      </c>
    </row>
    <row r="585" spans="1:7" ht="14.4">
      <c r="A585" s="186">
        <v>584</v>
      </c>
      <c r="B585" s="186" t="s">
        <v>335</v>
      </c>
      <c r="C585" s="186" t="s">
        <v>804</v>
      </c>
      <c r="D585" s="186">
        <v>28</v>
      </c>
      <c r="E585" s="186">
        <v>5.53</v>
      </c>
      <c r="F585" s="186">
        <v>5.27</v>
      </c>
      <c r="G585" s="186">
        <v>2.79313842</v>
      </c>
    </row>
    <row r="586" spans="1:7" ht="14.4">
      <c r="A586" s="186">
        <v>585</v>
      </c>
      <c r="B586" s="186" t="s">
        <v>213</v>
      </c>
      <c r="C586" s="186" t="s">
        <v>805</v>
      </c>
      <c r="D586" s="186">
        <v>8.1</v>
      </c>
      <c r="E586" s="186">
        <v>5.56</v>
      </c>
      <c r="F586" s="186">
        <v>5.28</v>
      </c>
      <c r="G586" s="186">
        <v>2.79844983</v>
      </c>
    </row>
    <row r="587" spans="1:7" ht="14.4">
      <c r="A587" s="186">
        <v>586</v>
      </c>
      <c r="B587" s="186" t="s">
        <v>138</v>
      </c>
      <c r="C587" s="186" t="s">
        <v>806</v>
      </c>
      <c r="D587" s="186">
        <v>82.7</v>
      </c>
      <c r="E587" s="186">
        <v>5.34</v>
      </c>
      <c r="F587" s="186">
        <v>5.29</v>
      </c>
      <c r="G587" s="186">
        <v>2.8037708339999998</v>
      </c>
    </row>
    <row r="588" spans="1:7" ht="14.4">
      <c r="A588" s="186">
        <v>587</v>
      </c>
      <c r="B588" s="186" t="s">
        <v>286</v>
      </c>
      <c r="C588" s="186" t="s">
        <v>807</v>
      </c>
      <c r="D588" s="186">
        <v>461.5</v>
      </c>
      <c r="E588" s="186">
        <v>5.64</v>
      </c>
      <c r="F588" s="186">
        <v>5.29</v>
      </c>
      <c r="G588" s="186">
        <v>2.8037708339999998</v>
      </c>
    </row>
    <row r="589" spans="1:7" ht="14.4">
      <c r="A589" s="186">
        <v>588</v>
      </c>
      <c r="B589" s="186" t="s">
        <v>286</v>
      </c>
      <c r="C589" s="186" t="s">
        <v>808</v>
      </c>
      <c r="D589" s="186">
        <v>442.2</v>
      </c>
      <c r="E589" s="186">
        <v>5.64</v>
      </c>
      <c r="F589" s="186">
        <v>5.29</v>
      </c>
      <c r="G589" s="186">
        <v>2.8037708339999998</v>
      </c>
    </row>
    <row r="590" spans="1:7" ht="14.4">
      <c r="A590" s="186">
        <v>589</v>
      </c>
      <c r="B590" s="186" t="s">
        <v>164</v>
      </c>
      <c r="C590" s="186" t="s">
        <v>809</v>
      </c>
      <c r="D590" s="186">
        <v>29.6</v>
      </c>
      <c r="E590" s="186">
        <v>5.57</v>
      </c>
      <c r="F590" s="186">
        <v>5.29</v>
      </c>
      <c r="G590" s="186">
        <v>2.8037708339999998</v>
      </c>
    </row>
    <row r="591" spans="1:7" ht="14.4">
      <c r="A591" s="186">
        <v>590</v>
      </c>
      <c r="B591" s="186" t="s">
        <v>141</v>
      </c>
      <c r="C591" s="186" t="s">
        <v>810</v>
      </c>
      <c r="D591" s="186">
        <v>70.3</v>
      </c>
      <c r="E591" s="186">
        <v>5.4</v>
      </c>
      <c r="F591" s="186">
        <v>5.29</v>
      </c>
      <c r="G591" s="186">
        <v>2.8037708339999998</v>
      </c>
    </row>
    <row r="592" spans="1:7" ht="14.4">
      <c r="A592" s="186">
        <v>591</v>
      </c>
      <c r="B592" s="186" t="s">
        <v>365</v>
      </c>
      <c r="C592" s="186" t="s">
        <v>811</v>
      </c>
      <c r="D592" s="186">
        <v>206.4</v>
      </c>
      <c r="E592" s="186">
        <v>5.28</v>
      </c>
      <c r="F592" s="186">
        <v>5.29</v>
      </c>
      <c r="G592" s="186">
        <v>2.8037708339999998</v>
      </c>
    </row>
    <row r="593" spans="1:7" ht="14.4">
      <c r="A593" s="186">
        <v>592</v>
      </c>
      <c r="B593" s="186" t="s">
        <v>812</v>
      </c>
      <c r="C593" s="186" t="s">
        <v>813</v>
      </c>
      <c r="D593" s="186">
        <v>537.1</v>
      </c>
      <c r="E593" s="186">
        <v>5.58</v>
      </c>
      <c r="F593" s="186">
        <v>5.29</v>
      </c>
      <c r="G593" s="186">
        <v>2.8037708339999998</v>
      </c>
    </row>
    <row r="594" spans="1:7" ht="14.4">
      <c r="A594" s="186">
        <v>593</v>
      </c>
      <c r="B594" s="186" t="s">
        <v>213</v>
      </c>
      <c r="C594" s="186" t="s">
        <v>814</v>
      </c>
      <c r="D594" s="187">
        <v>3506.2</v>
      </c>
      <c r="E594" s="186">
        <v>5.31</v>
      </c>
      <c r="F594" s="186">
        <v>5.29</v>
      </c>
      <c r="G594" s="186">
        <v>2.8037708339999998</v>
      </c>
    </row>
    <row r="595" spans="1:7" ht="14.4">
      <c r="A595" s="186">
        <v>594</v>
      </c>
      <c r="B595" s="186" t="s">
        <v>536</v>
      </c>
      <c r="C595" s="186" t="s">
        <v>815</v>
      </c>
      <c r="D595" s="186">
        <v>166.7</v>
      </c>
      <c r="E595" s="186">
        <v>5.28</v>
      </c>
      <c r="F595" s="186">
        <v>5.3</v>
      </c>
      <c r="G595" s="186">
        <v>2.8091014489999999</v>
      </c>
    </row>
    <row r="596" spans="1:7" ht="14.4">
      <c r="A596" s="186">
        <v>595</v>
      </c>
      <c r="B596" s="186" t="s">
        <v>415</v>
      </c>
      <c r="C596" s="186" t="s">
        <v>816</v>
      </c>
      <c r="D596" s="186">
        <v>34.9</v>
      </c>
      <c r="E596" s="186">
        <v>5.31</v>
      </c>
      <c r="F596" s="186">
        <v>5.3</v>
      </c>
      <c r="G596" s="186">
        <v>2.8091014489999999</v>
      </c>
    </row>
    <row r="597" spans="1:7" ht="14.4">
      <c r="A597" s="186">
        <v>596</v>
      </c>
      <c r="B597" s="186" t="s">
        <v>488</v>
      </c>
      <c r="C597" s="186" t="s">
        <v>817</v>
      </c>
      <c r="D597" s="186">
        <v>5.9</v>
      </c>
      <c r="E597" s="186">
        <v>5.46</v>
      </c>
      <c r="F597" s="186">
        <v>5.3</v>
      </c>
      <c r="G597" s="186">
        <v>2.8091014489999999</v>
      </c>
    </row>
    <row r="598" spans="1:7" ht="14.4">
      <c r="A598" s="186">
        <v>597</v>
      </c>
      <c r="B598" s="186" t="s">
        <v>335</v>
      </c>
      <c r="C598" s="186" t="s">
        <v>818</v>
      </c>
      <c r="D598" s="186">
        <v>21.2</v>
      </c>
      <c r="E598" s="186">
        <v>5.74</v>
      </c>
      <c r="F598" s="186">
        <v>5.3</v>
      </c>
      <c r="G598" s="186">
        <v>2.8091014489999999</v>
      </c>
    </row>
    <row r="599" spans="1:7" ht="14.4">
      <c r="A599" s="186">
        <v>598</v>
      </c>
      <c r="B599" s="186" t="s">
        <v>819</v>
      </c>
      <c r="C599" s="186" t="s">
        <v>820</v>
      </c>
      <c r="D599" s="186">
        <v>81.400000000000006</v>
      </c>
      <c r="E599" s="186">
        <v>5.55</v>
      </c>
      <c r="F599" s="186">
        <v>5.3</v>
      </c>
      <c r="G599" s="186">
        <v>2.8091014489999999</v>
      </c>
    </row>
    <row r="600" spans="1:7" ht="14.4">
      <c r="A600" s="186">
        <v>599</v>
      </c>
      <c r="B600" s="186" t="s">
        <v>821</v>
      </c>
      <c r="C600" s="186" t="s">
        <v>822</v>
      </c>
      <c r="D600" s="187">
        <v>1559.9</v>
      </c>
      <c r="E600" s="186">
        <v>5.29</v>
      </c>
      <c r="F600" s="186">
        <v>5.3</v>
      </c>
      <c r="G600" s="186">
        <v>2.8091014489999999</v>
      </c>
    </row>
    <row r="601" spans="1:7" ht="14.4">
      <c r="A601" s="186">
        <v>600</v>
      </c>
      <c r="B601" s="186" t="s">
        <v>565</v>
      </c>
      <c r="C601" s="186" t="s">
        <v>823</v>
      </c>
      <c r="D601" s="186">
        <v>4.8</v>
      </c>
      <c r="E601" s="186">
        <v>5.95</v>
      </c>
      <c r="F601" s="186">
        <v>5.3</v>
      </c>
      <c r="G601" s="186">
        <v>2.8091014489999999</v>
      </c>
    </row>
    <row r="602" spans="1:7" ht="14.4">
      <c r="A602" s="186">
        <v>601</v>
      </c>
      <c r="B602" s="186" t="s">
        <v>824</v>
      </c>
      <c r="C602" s="186" t="s">
        <v>825</v>
      </c>
      <c r="D602" s="186">
        <v>19.600000000000001</v>
      </c>
      <c r="E602" s="186">
        <v>5.65</v>
      </c>
      <c r="F602" s="186">
        <v>5.31</v>
      </c>
      <c r="G602" s="186">
        <v>2.8144416900000002</v>
      </c>
    </row>
    <row r="603" spans="1:7" ht="14.4">
      <c r="A603" s="186">
        <v>602</v>
      </c>
      <c r="B603" s="186" t="s">
        <v>148</v>
      </c>
      <c r="C603" s="186" t="s">
        <v>826</v>
      </c>
      <c r="D603" s="186">
        <v>73.099999999999994</v>
      </c>
      <c r="E603" s="186">
        <v>5.37</v>
      </c>
      <c r="F603" s="186">
        <v>5.31</v>
      </c>
      <c r="G603" s="186">
        <v>2.8144416900000002</v>
      </c>
    </row>
    <row r="604" spans="1:7" ht="14.4">
      <c r="A604" s="186">
        <v>603</v>
      </c>
      <c r="B604" s="186" t="s">
        <v>827</v>
      </c>
      <c r="C604" s="186" t="s">
        <v>828</v>
      </c>
      <c r="D604" s="186">
        <v>931.7</v>
      </c>
      <c r="E604" s="186">
        <v>5</v>
      </c>
      <c r="F604" s="186">
        <v>5.31</v>
      </c>
      <c r="G604" s="186">
        <v>2.8144416900000002</v>
      </c>
    </row>
    <row r="605" spans="1:7" ht="14.4">
      <c r="A605" s="186">
        <v>604</v>
      </c>
      <c r="B605" s="186" t="s">
        <v>280</v>
      </c>
      <c r="C605" s="186" t="s">
        <v>829</v>
      </c>
      <c r="D605" s="186">
        <v>306.3</v>
      </c>
      <c r="E605" s="186">
        <v>4.49</v>
      </c>
      <c r="F605" s="186">
        <v>5.31</v>
      </c>
      <c r="G605" s="186">
        <v>2.8144416900000002</v>
      </c>
    </row>
    <row r="606" spans="1:7" ht="14.4">
      <c r="A606" s="186">
        <v>605</v>
      </c>
      <c r="B606" s="186" t="s">
        <v>340</v>
      </c>
      <c r="C606" s="186" t="s">
        <v>830</v>
      </c>
      <c r="D606" s="186">
        <v>42.4</v>
      </c>
      <c r="E606" s="186">
        <v>5.04</v>
      </c>
      <c r="F606" s="186">
        <v>5.31</v>
      </c>
      <c r="G606" s="186">
        <v>2.8144416900000002</v>
      </c>
    </row>
    <row r="607" spans="1:7" ht="14.4">
      <c r="A607" s="186">
        <v>606</v>
      </c>
      <c r="B607" s="186" t="s">
        <v>241</v>
      </c>
      <c r="C607" s="186" t="s">
        <v>831</v>
      </c>
      <c r="D607" s="186">
        <v>673.1</v>
      </c>
      <c r="E607" s="186">
        <v>5.45</v>
      </c>
      <c r="F607" s="186">
        <v>5.32</v>
      </c>
      <c r="G607" s="186">
        <v>2.819791575</v>
      </c>
    </row>
    <row r="608" spans="1:7" ht="14.4">
      <c r="A608" s="186">
        <v>607</v>
      </c>
      <c r="B608" s="186" t="s">
        <v>241</v>
      </c>
      <c r="C608" s="186" t="s">
        <v>832</v>
      </c>
      <c r="D608" s="186">
        <v>241.1</v>
      </c>
      <c r="E608" s="186">
        <v>5.09</v>
      </c>
      <c r="F608" s="186">
        <v>5.32</v>
      </c>
      <c r="G608" s="186">
        <v>2.819791575</v>
      </c>
    </row>
    <row r="609" spans="1:7" ht="14.4">
      <c r="A609" s="186">
        <v>608</v>
      </c>
      <c r="B609" s="186" t="s">
        <v>643</v>
      </c>
      <c r="C609" s="186" t="s">
        <v>833</v>
      </c>
      <c r="D609" s="186">
        <v>6.3</v>
      </c>
      <c r="E609" s="186">
        <v>5.79</v>
      </c>
      <c r="F609" s="186">
        <v>5.32</v>
      </c>
      <c r="G609" s="186">
        <v>2.819791575</v>
      </c>
    </row>
    <row r="610" spans="1:7" ht="14.4">
      <c r="A610" s="186">
        <v>609</v>
      </c>
      <c r="B610" s="186" t="s">
        <v>834</v>
      </c>
      <c r="C610" s="186" t="s">
        <v>835</v>
      </c>
      <c r="D610" s="186">
        <v>8.1999999999999993</v>
      </c>
      <c r="E610" s="186">
        <v>5.55</v>
      </c>
      <c r="F610" s="186">
        <v>5.32</v>
      </c>
      <c r="G610" s="186">
        <v>2.819791575</v>
      </c>
    </row>
    <row r="611" spans="1:7" ht="14.4">
      <c r="A611" s="186">
        <v>610</v>
      </c>
      <c r="B611" s="186" t="s">
        <v>834</v>
      </c>
      <c r="C611" s="186" t="s">
        <v>836</v>
      </c>
      <c r="D611" s="186">
        <v>19.899999999999999</v>
      </c>
      <c r="E611" s="186">
        <v>5.55</v>
      </c>
      <c r="F611" s="186">
        <v>5.32</v>
      </c>
      <c r="G611" s="186">
        <v>2.819791575</v>
      </c>
    </row>
    <row r="612" spans="1:7" ht="14.4">
      <c r="A612" s="186">
        <v>611</v>
      </c>
      <c r="B612" s="186" t="s">
        <v>288</v>
      </c>
      <c r="C612" s="186" t="s">
        <v>837</v>
      </c>
      <c r="D612" s="186">
        <v>763.3</v>
      </c>
      <c r="E612" s="186">
        <v>5.77</v>
      </c>
      <c r="F612" s="186">
        <v>5.33</v>
      </c>
      <c r="G612" s="186">
        <v>2.8251511210000002</v>
      </c>
    </row>
    <row r="613" spans="1:7" ht="14.4">
      <c r="A613" s="186">
        <v>612</v>
      </c>
      <c r="B613" s="186" t="s">
        <v>335</v>
      </c>
      <c r="C613" s="186" t="s">
        <v>838</v>
      </c>
      <c r="D613" s="186">
        <v>544.79999999999995</v>
      </c>
      <c r="E613" s="186">
        <v>5.58</v>
      </c>
      <c r="F613" s="186">
        <v>5.33</v>
      </c>
      <c r="G613" s="186">
        <v>2.8251511210000002</v>
      </c>
    </row>
    <row r="614" spans="1:7" ht="14.4">
      <c r="A614" s="186">
        <v>613</v>
      </c>
      <c r="B614" s="186" t="s">
        <v>335</v>
      </c>
      <c r="C614" s="186" t="s">
        <v>839</v>
      </c>
      <c r="D614" s="186">
        <v>42.1</v>
      </c>
      <c r="E614" s="186">
        <v>5.65</v>
      </c>
      <c r="F614" s="186">
        <v>5.33</v>
      </c>
      <c r="G614" s="186">
        <v>2.8251511210000002</v>
      </c>
    </row>
    <row r="615" spans="1:7" ht="14.4">
      <c r="A615" s="186">
        <v>614</v>
      </c>
      <c r="B615" s="186" t="s">
        <v>742</v>
      </c>
      <c r="C615" s="186" t="s">
        <v>840</v>
      </c>
      <c r="D615" s="186">
        <v>320.60000000000002</v>
      </c>
      <c r="E615" s="186">
        <v>5.31</v>
      </c>
      <c r="F615" s="186">
        <v>5.34</v>
      </c>
      <c r="G615" s="186">
        <v>2.8305203419999998</v>
      </c>
    </row>
    <row r="616" spans="1:7" ht="14.4">
      <c r="A616" s="186">
        <v>615</v>
      </c>
      <c r="B616" s="186" t="s">
        <v>138</v>
      </c>
      <c r="C616" s="186" t="s">
        <v>841</v>
      </c>
      <c r="D616" s="186">
        <v>7.3</v>
      </c>
      <c r="E616" s="186">
        <v>5.69</v>
      </c>
      <c r="F616" s="186">
        <v>5.34</v>
      </c>
      <c r="G616" s="186">
        <v>2.8305203419999998</v>
      </c>
    </row>
    <row r="617" spans="1:7" ht="14.4">
      <c r="A617" s="186">
        <v>616</v>
      </c>
      <c r="B617" s="186" t="s">
        <v>271</v>
      </c>
      <c r="C617" s="186" t="s">
        <v>842</v>
      </c>
      <c r="D617" s="186">
        <v>118.9</v>
      </c>
      <c r="E617" s="186">
        <v>5.14</v>
      </c>
      <c r="F617" s="186">
        <v>5.34</v>
      </c>
      <c r="G617" s="186">
        <v>2.8305203419999998</v>
      </c>
    </row>
    <row r="618" spans="1:7" ht="14.4">
      <c r="A618" s="186">
        <v>617</v>
      </c>
      <c r="B618" s="186" t="s">
        <v>335</v>
      </c>
      <c r="C618" s="186" t="s">
        <v>843</v>
      </c>
      <c r="D618" s="186">
        <v>376.1</v>
      </c>
      <c r="E618" s="186">
        <v>5.78</v>
      </c>
      <c r="F618" s="186">
        <v>5.34</v>
      </c>
      <c r="G618" s="186">
        <v>2.8305203419999998</v>
      </c>
    </row>
    <row r="619" spans="1:7" ht="14.4">
      <c r="A619" s="186">
        <v>618</v>
      </c>
      <c r="B619" s="186" t="s">
        <v>319</v>
      </c>
      <c r="C619" s="186" t="s">
        <v>844</v>
      </c>
      <c r="D619" s="187">
        <v>1915.2</v>
      </c>
      <c r="E619" s="186">
        <v>5.21</v>
      </c>
      <c r="F619" s="186">
        <v>5.34</v>
      </c>
      <c r="G619" s="186">
        <v>2.8305203419999998</v>
      </c>
    </row>
    <row r="620" spans="1:7" ht="14.4">
      <c r="A620" s="186">
        <v>619</v>
      </c>
      <c r="B620" s="186" t="s">
        <v>420</v>
      </c>
      <c r="C620" s="186" t="s">
        <v>845</v>
      </c>
      <c r="D620" s="186">
        <v>98.5</v>
      </c>
      <c r="E620" s="186">
        <v>5.22</v>
      </c>
      <c r="F620" s="186">
        <v>5.34</v>
      </c>
      <c r="G620" s="186">
        <v>2.8305203419999998</v>
      </c>
    </row>
    <row r="621" spans="1:7" ht="14.4">
      <c r="A621" s="186">
        <v>620</v>
      </c>
      <c r="B621" s="186" t="s">
        <v>536</v>
      </c>
      <c r="C621" s="186" t="s">
        <v>846</v>
      </c>
      <c r="D621" s="186">
        <v>49.9</v>
      </c>
      <c r="E621" s="186">
        <v>5.24</v>
      </c>
      <c r="F621" s="186">
        <v>5.35</v>
      </c>
      <c r="G621" s="186">
        <v>2.8358992569999999</v>
      </c>
    </row>
    <row r="622" spans="1:7" ht="14.4">
      <c r="A622" s="186">
        <v>621</v>
      </c>
      <c r="B622" s="186" t="s">
        <v>263</v>
      </c>
      <c r="C622" s="186" t="s">
        <v>847</v>
      </c>
      <c r="D622" s="186">
        <v>304.7</v>
      </c>
      <c r="E622" s="186">
        <v>5.42</v>
      </c>
      <c r="F622" s="186">
        <v>5.35</v>
      </c>
      <c r="G622" s="186">
        <v>2.8358992569999999</v>
      </c>
    </row>
    <row r="623" spans="1:7" ht="14.4">
      <c r="A623" s="186">
        <v>622</v>
      </c>
      <c r="B623" s="186" t="s">
        <v>488</v>
      </c>
      <c r="C623" s="186" t="s">
        <v>848</v>
      </c>
      <c r="D623" s="186">
        <v>1.9</v>
      </c>
      <c r="E623" s="186">
        <v>5.8</v>
      </c>
      <c r="F623" s="186">
        <v>5.35</v>
      </c>
      <c r="G623" s="186">
        <v>2.8358992569999999</v>
      </c>
    </row>
    <row r="624" spans="1:7" ht="14.4">
      <c r="A624" s="186">
        <v>623</v>
      </c>
      <c r="B624" s="186" t="s">
        <v>728</v>
      </c>
      <c r="C624" s="186" t="s">
        <v>849</v>
      </c>
      <c r="D624" s="186">
        <v>68</v>
      </c>
      <c r="E624" s="186">
        <v>5.43</v>
      </c>
      <c r="F624" s="186">
        <v>5.35</v>
      </c>
      <c r="G624" s="186">
        <v>2.8358992569999999</v>
      </c>
    </row>
    <row r="625" spans="1:7" ht="14.4">
      <c r="A625" s="186">
        <v>624</v>
      </c>
      <c r="B625" s="186" t="s">
        <v>162</v>
      </c>
      <c r="C625" s="186" t="s">
        <v>850</v>
      </c>
      <c r="D625" s="186">
        <v>4</v>
      </c>
      <c r="E625" s="186">
        <v>5.64</v>
      </c>
      <c r="F625" s="186">
        <v>5.36</v>
      </c>
      <c r="G625" s="186">
        <v>2.841287882</v>
      </c>
    </row>
    <row r="626" spans="1:7" ht="14.4">
      <c r="A626" s="186">
        <v>625</v>
      </c>
      <c r="B626" s="186" t="s">
        <v>362</v>
      </c>
      <c r="C626" s="186" t="s">
        <v>851</v>
      </c>
      <c r="D626" s="186">
        <v>14.5</v>
      </c>
      <c r="E626" s="186">
        <v>5.63</v>
      </c>
      <c r="F626" s="186">
        <v>5.36</v>
      </c>
      <c r="G626" s="186">
        <v>2.841287882</v>
      </c>
    </row>
    <row r="627" spans="1:7" ht="14.4">
      <c r="A627" s="186">
        <v>626</v>
      </c>
      <c r="B627" s="186" t="s">
        <v>365</v>
      </c>
      <c r="C627" s="186" t="s">
        <v>852</v>
      </c>
      <c r="D627" s="187">
        <v>1175</v>
      </c>
      <c r="E627" s="186">
        <v>5.35</v>
      </c>
      <c r="F627" s="186">
        <v>5.36</v>
      </c>
      <c r="G627" s="186">
        <v>2.841287882</v>
      </c>
    </row>
    <row r="628" spans="1:7" ht="14.4">
      <c r="A628" s="186">
        <v>627</v>
      </c>
      <c r="B628" s="186" t="s">
        <v>146</v>
      </c>
      <c r="C628" s="186" t="s">
        <v>853</v>
      </c>
      <c r="D628" s="186">
        <v>849.9</v>
      </c>
      <c r="E628" s="186">
        <v>5.43</v>
      </c>
      <c r="F628" s="186">
        <v>5.36</v>
      </c>
      <c r="G628" s="186">
        <v>2.841287882</v>
      </c>
    </row>
    <row r="629" spans="1:7" ht="14.4">
      <c r="A629" s="186">
        <v>628</v>
      </c>
      <c r="B629" s="186" t="s">
        <v>148</v>
      </c>
      <c r="C629" s="186" t="s">
        <v>854</v>
      </c>
      <c r="D629" s="187">
        <v>1330.8</v>
      </c>
      <c r="E629" s="186">
        <v>5.91</v>
      </c>
      <c r="F629" s="186">
        <v>5.36</v>
      </c>
      <c r="G629" s="186">
        <v>2.841287882</v>
      </c>
    </row>
    <row r="630" spans="1:7" ht="14.4">
      <c r="A630" s="186">
        <v>629</v>
      </c>
      <c r="B630" s="186" t="s">
        <v>311</v>
      </c>
      <c r="C630" s="186" t="s">
        <v>855</v>
      </c>
      <c r="D630" s="187">
        <v>1271.2</v>
      </c>
      <c r="E630" s="186">
        <v>5.71</v>
      </c>
      <c r="F630" s="186">
        <v>5.36</v>
      </c>
      <c r="G630" s="186">
        <v>2.841287882</v>
      </c>
    </row>
    <row r="631" spans="1:7" ht="14.4">
      <c r="A631" s="186">
        <v>630</v>
      </c>
      <c r="B631" s="186" t="s">
        <v>280</v>
      </c>
      <c r="C631" s="186" t="s">
        <v>856</v>
      </c>
      <c r="D631" s="186">
        <v>1</v>
      </c>
      <c r="E631" s="186">
        <v>5.95</v>
      </c>
      <c r="F631" s="186">
        <v>5.36</v>
      </c>
      <c r="G631" s="186">
        <v>2.841287882</v>
      </c>
    </row>
    <row r="632" spans="1:7" ht="14.4">
      <c r="A632" s="186">
        <v>631</v>
      </c>
      <c r="B632" s="186" t="s">
        <v>146</v>
      </c>
      <c r="C632" s="186" t="s">
        <v>857</v>
      </c>
      <c r="D632" s="187">
        <v>3990</v>
      </c>
      <c r="E632" s="186">
        <v>5.44</v>
      </c>
      <c r="F632" s="186">
        <v>5.37</v>
      </c>
      <c r="G632" s="186">
        <v>2.8466862329999998</v>
      </c>
    </row>
    <row r="633" spans="1:7" ht="14.4">
      <c r="A633" s="186">
        <v>632</v>
      </c>
      <c r="B633" s="186" t="s">
        <v>834</v>
      </c>
      <c r="C633" s="186" t="s">
        <v>858</v>
      </c>
      <c r="D633" s="186">
        <v>16.7</v>
      </c>
      <c r="E633" s="186">
        <v>5.69</v>
      </c>
      <c r="F633" s="186">
        <v>5.37</v>
      </c>
      <c r="G633" s="186">
        <v>2.8466862329999998</v>
      </c>
    </row>
    <row r="634" spans="1:7" ht="14.4">
      <c r="A634" s="186">
        <v>633</v>
      </c>
      <c r="B634" s="186" t="s">
        <v>213</v>
      </c>
      <c r="C634" s="186" t="s">
        <v>859</v>
      </c>
      <c r="D634" s="186">
        <v>10.3</v>
      </c>
      <c r="E634" s="186">
        <v>5.42</v>
      </c>
      <c r="F634" s="186">
        <v>5.37</v>
      </c>
      <c r="G634" s="186">
        <v>2.8466862329999998</v>
      </c>
    </row>
    <row r="635" spans="1:7" ht="14.4">
      <c r="A635" s="186">
        <v>634</v>
      </c>
      <c r="B635" s="186" t="s">
        <v>164</v>
      </c>
      <c r="C635" s="186" t="s">
        <v>860</v>
      </c>
      <c r="D635" s="186">
        <v>297.2</v>
      </c>
      <c r="E635" s="186">
        <v>5.37</v>
      </c>
      <c r="F635" s="186">
        <v>5.38</v>
      </c>
      <c r="G635" s="186">
        <v>2.8520943270000001</v>
      </c>
    </row>
    <row r="636" spans="1:7" ht="14.4">
      <c r="A636" s="186">
        <v>635</v>
      </c>
      <c r="B636" s="186" t="s">
        <v>488</v>
      </c>
      <c r="C636" s="186" t="s">
        <v>861</v>
      </c>
      <c r="D636" s="186">
        <v>62.4</v>
      </c>
      <c r="E636" s="186">
        <v>5.85</v>
      </c>
      <c r="F636" s="186">
        <v>5.38</v>
      </c>
      <c r="G636" s="186">
        <v>2.8520943270000001</v>
      </c>
    </row>
    <row r="637" spans="1:7" ht="14.4">
      <c r="A637" s="186">
        <v>636</v>
      </c>
      <c r="B637" s="186" t="s">
        <v>834</v>
      </c>
      <c r="C637" s="186" t="s">
        <v>862</v>
      </c>
      <c r="D637" s="186">
        <v>3.8</v>
      </c>
      <c r="E637" s="186">
        <v>5.7</v>
      </c>
      <c r="F637" s="186">
        <v>5.38</v>
      </c>
      <c r="G637" s="186">
        <v>2.8520943270000001</v>
      </c>
    </row>
    <row r="638" spans="1:7" ht="14.4">
      <c r="A638" s="186">
        <v>637</v>
      </c>
      <c r="B638" s="186" t="s">
        <v>162</v>
      </c>
      <c r="C638" s="186" t="s">
        <v>863</v>
      </c>
      <c r="D638" s="186">
        <v>10.5</v>
      </c>
      <c r="E638" s="186">
        <v>5.05</v>
      </c>
      <c r="F638" s="186">
        <v>5.39</v>
      </c>
      <c r="G638" s="186">
        <v>2.8575121800000001</v>
      </c>
    </row>
    <row r="639" spans="1:7" ht="14.4">
      <c r="A639" s="186">
        <v>638</v>
      </c>
      <c r="B639" s="186" t="s">
        <v>175</v>
      </c>
      <c r="C639" s="186" t="s">
        <v>864</v>
      </c>
      <c r="D639" s="186">
        <v>199.6</v>
      </c>
      <c r="E639" s="186">
        <v>5.67</v>
      </c>
      <c r="F639" s="186">
        <v>5.39</v>
      </c>
      <c r="G639" s="186">
        <v>2.8575121800000001</v>
      </c>
    </row>
    <row r="640" spans="1:7" ht="14.4">
      <c r="A640" s="186">
        <v>639</v>
      </c>
      <c r="B640" s="186" t="s">
        <v>865</v>
      </c>
      <c r="C640" s="186" t="s">
        <v>866</v>
      </c>
      <c r="D640" s="186">
        <v>110.6</v>
      </c>
      <c r="E640" s="186">
        <v>5.82</v>
      </c>
      <c r="F640" s="186">
        <v>5.4</v>
      </c>
      <c r="G640" s="186">
        <v>2.8629398099999999</v>
      </c>
    </row>
    <row r="641" spans="1:7" ht="14.4">
      <c r="A641" s="186">
        <v>640</v>
      </c>
      <c r="B641" s="186" t="s">
        <v>158</v>
      </c>
      <c r="C641" s="186" t="s">
        <v>867</v>
      </c>
      <c r="D641" s="186">
        <v>631.5</v>
      </c>
      <c r="E641" s="186">
        <v>5.07</v>
      </c>
      <c r="F641" s="186">
        <v>5.4</v>
      </c>
      <c r="G641" s="186">
        <v>2.8629398099999999</v>
      </c>
    </row>
    <row r="642" spans="1:7" ht="14.4">
      <c r="A642" s="186">
        <v>641</v>
      </c>
      <c r="B642" s="186" t="s">
        <v>210</v>
      </c>
      <c r="C642" s="186" t="s">
        <v>868</v>
      </c>
      <c r="D642" s="186">
        <v>659.3</v>
      </c>
      <c r="E642" s="186">
        <v>5.29</v>
      </c>
      <c r="F642" s="186">
        <v>5.4</v>
      </c>
      <c r="G642" s="186">
        <v>2.8629398099999999</v>
      </c>
    </row>
    <row r="643" spans="1:7" ht="14.4">
      <c r="A643" s="186">
        <v>642</v>
      </c>
      <c r="B643" s="186" t="s">
        <v>415</v>
      </c>
      <c r="C643" s="186" t="s">
        <v>869</v>
      </c>
      <c r="D643" s="187">
        <v>3025.6</v>
      </c>
      <c r="E643" s="186">
        <v>5.41</v>
      </c>
      <c r="F643" s="186">
        <v>5.4</v>
      </c>
      <c r="G643" s="186">
        <v>2.8629398099999999</v>
      </c>
    </row>
    <row r="644" spans="1:7" ht="14.4">
      <c r="A644" s="186">
        <v>643</v>
      </c>
      <c r="B644" s="186" t="s">
        <v>677</v>
      </c>
      <c r="C644" s="186" t="s">
        <v>870</v>
      </c>
      <c r="D644" s="186">
        <v>66.599999999999994</v>
      </c>
      <c r="E644" s="186">
        <v>5.66</v>
      </c>
      <c r="F644" s="186">
        <v>5.4</v>
      </c>
      <c r="G644" s="186">
        <v>2.8629398099999999</v>
      </c>
    </row>
    <row r="645" spans="1:7" ht="14.4">
      <c r="A645" s="186">
        <v>644</v>
      </c>
      <c r="B645" s="186" t="s">
        <v>120</v>
      </c>
      <c r="C645" s="186" t="s">
        <v>871</v>
      </c>
      <c r="D645" s="186">
        <v>26.9</v>
      </c>
      <c r="E645" s="186">
        <v>5.7</v>
      </c>
      <c r="F645" s="186">
        <v>5.4</v>
      </c>
      <c r="G645" s="186">
        <v>2.8629398099999999</v>
      </c>
    </row>
    <row r="646" spans="1:7" ht="14.4">
      <c r="A646" s="186">
        <v>645</v>
      </c>
      <c r="B646" s="186" t="s">
        <v>872</v>
      </c>
      <c r="C646" s="186" t="s">
        <v>873</v>
      </c>
      <c r="D646" s="186">
        <v>335.4</v>
      </c>
      <c r="E646" s="186">
        <v>5.53</v>
      </c>
      <c r="F646" s="186">
        <v>5.41</v>
      </c>
      <c r="G646" s="186">
        <v>2.8683772319999998</v>
      </c>
    </row>
    <row r="647" spans="1:7" ht="14.4">
      <c r="A647" s="186">
        <v>646</v>
      </c>
      <c r="B647" s="186" t="s">
        <v>415</v>
      </c>
      <c r="C647" s="186" t="s">
        <v>874</v>
      </c>
      <c r="D647" s="186">
        <v>73.7</v>
      </c>
      <c r="E647" s="186">
        <v>5.69</v>
      </c>
      <c r="F647" s="186">
        <v>5.41</v>
      </c>
      <c r="G647" s="186">
        <v>2.8683772319999998</v>
      </c>
    </row>
    <row r="648" spans="1:7" ht="14.4">
      <c r="A648" s="186">
        <v>647</v>
      </c>
      <c r="B648" s="186" t="s">
        <v>415</v>
      </c>
      <c r="C648" s="186" t="s">
        <v>875</v>
      </c>
      <c r="D648" s="186">
        <v>300.2</v>
      </c>
      <c r="E648" s="186">
        <v>5.69</v>
      </c>
      <c r="F648" s="186">
        <v>5.41</v>
      </c>
      <c r="G648" s="186">
        <v>2.8683772319999998</v>
      </c>
    </row>
    <row r="649" spans="1:7" ht="14.4">
      <c r="A649" s="186">
        <v>648</v>
      </c>
      <c r="B649" s="186" t="s">
        <v>451</v>
      </c>
      <c r="C649" s="186" t="s">
        <v>876</v>
      </c>
      <c r="D649" s="186">
        <v>22.6</v>
      </c>
      <c r="E649" s="186">
        <v>5.22</v>
      </c>
      <c r="F649" s="186">
        <v>5.41</v>
      </c>
      <c r="G649" s="186">
        <v>2.8683772319999998</v>
      </c>
    </row>
    <row r="650" spans="1:7" ht="14.4">
      <c r="A650" s="186">
        <v>649</v>
      </c>
      <c r="B650" s="186" t="s">
        <v>263</v>
      </c>
      <c r="C650" s="186" t="s">
        <v>877</v>
      </c>
      <c r="D650" s="186">
        <v>266.2</v>
      </c>
      <c r="E650" s="186">
        <v>5.56</v>
      </c>
      <c r="F650" s="186">
        <v>5.42</v>
      </c>
      <c r="G650" s="186">
        <v>2.8738244650000002</v>
      </c>
    </row>
    <row r="651" spans="1:7" ht="14.4">
      <c r="A651" s="186">
        <v>650</v>
      </c>
      <c r="B651" s="186" t="s">
        <v>571</v>
      </c>
      <c r="C651" s="186" t="s">
        <v>878</v>
      </c>
      <c r="D651" s="186">
        <v>168.4</v>
      </c>
      <c r="E651" s="186">
        <v>5.82</v>
      </c>
      <c r="F651" s="186">
        <v>5.43</v>
      </c>
      <c r="G651" s="186">
        <v>2.879281523</v>
      </c>
    </row>
    <row r="652" spans="1:7" ht="14.4">
      <c r="A652" s="186">
        <v>651</v>
      </c>
      <c r="B652" s="186" t="s">
        <v>178</v>
      </c>
      <c r="C652" s="186" t="s">
        <v>879</v>
      </c>
      <c r="D652" s="186">
        <v>0.1</v>
      </c>
      <c r="E652" s="186">
        <v>5.4</v>
      </c>
      <c r="F652" s="186">
        <v>5.43</v>
      </c>
      <c r="G652" s="186">
        <v>2.879281523</v>
      </c>
    </row>
    <row r="653" spans="1:7" ht="14.4">
      <c r="A653" s="186">
        <v>652</v>
      </c>
      <c r="B653" s="186" t="s">
        <v>162</v>
      </c>
      <c r="C653" s="186" t="s">
        <v>880</v>
      </c>
      <c r="D653" s="186">
        <v>3</v>
      </c>
      <c r="E653" s="186">
        <v>5.5</v>
      </c>
      <c r="F653" s="186">
        <v>5.43</v>
      </c>
      <c r="G653" s="186">
        <v>2.879281523</v>
      </c>
    </row>
    <row r="654" spans="1:7" ht="14.4">
      <c r="A654" s="186">
        <v>653</v>
      </c>
      <c r="B654" s="186" t="s">
        <v>303</v>
      </c>
      <c r="C654" s="186" t="s">
        <v>881</v>
      </c>
      <c r="D654" s="186">
        <v>43.7</v>
      </c>
      <c r="E654" s="186">
        <v>5.62</v>
      </c>
      <c r="F654" s="186">
        <v>5.43</v>
      </c>
      <c r="G654" s="186">
        <v>2.879281523</v>
      </c>
    </row>
    <row r="655" spans="1:7" ht="14.4">
      <c r="A655" s="186">
        <v>654</v>
      </c>
      <c r="B655" s="186" t="s">
        <v>365</v>
      </c>
      <c r="C655" s="186" t="s">
        <v>882</v>
      </c>
      <c r="D655" s="187">
        <v>1118.9000000000001</v>
      </c>
      <c r="E655" s="186">
        <v>5.41</v>
      </c>
      <c r="F655" s="186">
        <v>5.43</v>
      </c>
      <c r="G655" s="186">
        <v>2.879281523</v>
      </c>
    </row>
    <row r="656" spans="1:7" ht="14.4">
      <c r="A656" s="186">
        <v>655</v>
      </c>
      <c r="B656" s="186" t="s">
        <v>365</v>
      </c>
      <c r="C656" s="186" t="s">
        <v>883</v>
      </c>
      <c r="D656" s="187">
        <v>1282.9000000000001</v>
      </c>
      <c r="E656" s="186">
        <v>5.41</v>
      </c>
      <c r="F656" s="186">
        <v>5.43</v>
      </c>
      <c r="G656" s="186">
        <v>2.879281523</v>
      </c>
    </row>
    <row r="657" spans="1:7" ht="14.4">
      <c r="A657" s="186">
        <v>656</v>
      </c>
      <c r="B657" s="186" t="s">
        <v>884</v>
      </c>
      <c r="C657" s="186" t="s">
        <v>885</v>
      </c>
      <c r="D657" s="186">
        <v>69.900000000000006</v>
      </c>
      <c r="E657" s="186">
        <v>5.74</v>
      </c>
      <c r="F657" s="186">
        <v>5.43</v>
      </c>
      <c r="G657" s="186">
        <v>2.879281523</v>
      </c>
    </row>
    <row r="658" spans="1:7" ht="14.4">
      <c r="A658" s="186">
        <v>657</v>
      </c>
      <c r="B658" s="186" t="s">
        <v>319</v>
      </c>
      <c r="C658" s="186" t="s">
        <v>886</v>
      </c>
      <c r="D658" s="186">
        <v>462</v>
      </c>
      <c r="E658" s="186">
        <v>5.29</v>
      </c>
      <c r="F658" s="186">
        <v>5.43</v>
      </c>
      <c r="G658" s="186">
        <v>2.879281523</v>
      </c>
    </row>
    <row r="659" spans="1:7" ht="14.4">
      <c r="A659" s="186">
        <v>658</v>
      </c>
      <c r="B659" s="186" t="s">
        <v>138</v>
      </c>
      <c r="C659" s="186" t="s">
        <v>887</v>
      </c>
      <c r="D659" s="186">
        <v>10</v>
      </c>
      <c r="E659" s="186">
        <v>5.94</v>
      </c>
      <c r="F659" s="186">
        <v>5.44</v>
      </c>
      <c r="G659" s="186">
        <v>2.8847484259999998</v>
      </c>
    </row>
    <row r="660" spans="1:7" ht="14.4">
      <c r="A660" s="186">
        <v>659</v>
      </c>
      <c r="B660" s="186" t="s">
        <v>571</v>
      </c>
      <c r="C660" s="186" t="s">
        <v>888</v>
      </c>
      <c r="D660" s="186">
        <v>5.6</v>
      </c>
      <c r="E660" s="186">
        <v>5.8</v>
      </c>
      <c r="F660" s="186">
        <v>5.44</v>
      </c>
      <c r="G660" s="186">
        <v>2.8847484259999998</v>
      </c>
    </row>
    <row r="661" spans="1:7" ht="14.4">
      <c r="A661" s="186">
        <v>660</v>
      </c>
      <c r="B661" s="186" t="s">
        <v>122</v>
      </c>
      <c r="C661" s="186" t="s">
        <v>889</v>
      </c>
      <c r="D661" s="186">
        <v>407.8</v>
      </c>
      <c r="E661" s="186">
        <v>5.39</v>
      </c>
      <c r="F661" s="186">
        <v>5.44</v>
      </c>
      <c r="G661" s="186">
        <v>2.8847484259999998</v>
      </c>
    </row>
    <row r="662" spans="1:7" ht="14.4">
      <c r="A662" s="186">
        <v>661</v>
      </c>
      <c r="B662" s="186" t="s">
        <v>210</v>
      </c>
      <c r="C662" s="186" t="s">
        <v>890</v>
      </c>
      <c r="D662" s="186">
        <v>491.2</v>
      </c>
      <c r="E662" s="186">
        <v>5.68</v>
      </c>
      <c r="F662" s="186">
        <v>5.44</v>
      </c>
      <c r="G662" s="186">
        <v>2.8847484259999998</v>
      </c>
    </row>
    <row r="663" spans="1:7" ht="14.4">
      <c r="A663" s="186">
        <v>662</v>
      </c>
      <c r="B663" s="186" t="s">
        <v>415</v>
      </c>
      <c r="C663" s="186" t="s">
        <v>891</v>
      </c>
      <c r="D663" s="186">
        <v>22.4</v>
      </c>
      <c r="E663" s="186">
        <v>5.72</v>
      </c>
      <c r="F663" s="186">
        <v>5.44</v>
      </c>
      <c r="G663" s="186">
        <v>2.8847484259999998</v>
      </c>
    </row>
    <row r="664" spans="1:7" ht="14.4">
      <c r="A664" s="186">
        <v>663</v>
      </c>
      <c r="B664" s="186" t="s">
        <v>415</v>
      </c>
      <c r="C664" s="186" t="s">
        <v>892</v>
      </c>
      <c r="D664" s="186">
        <v>133.5</v>
      </c>
      <c r="E664" s="186">
        <v>5.72</v>
      </c>
      <c r="F664" s="186">
        <v>5.44</v>
      </c>
      <c r="G664" s="186">
        <v>2.8847484259999998</v>
      </c>
    </row>
    <row r="665" spans="1:7" ht="14.4">
      <c r="A665" s="186">
        <v>664</v>
      </c>
      <c r="B665" s="186" t="s">
        <v>335</v>
      </c>
      <c r="C665" s="186" t="s">
        <v>893</v>
      </c>
      <c r="D665" s="186">
        <v>138.1</v>
      </c>
      <c r="E665" s="186">
        <v>5.3</v>
      </c>
      <c r="F665" s="186">
        <v>5.44</v>
      </c>
      <c r="G665" s="186">
        <v>2.8847484259999998</v>
      </c>
    </row>
    <row r="666" spans="1:7" ht="14.4">
      <c r="A666" s="186">
        <v>665</v>
      </c>
      <c r="B666" s="186" t="s">
        <v>128</v>
      </c>
      <c r="C666" s="186" t="s">
        <v>894</v>
      </c>
      <c r="D666" s="186">
        <v>115.2</v>
      </c>
      <c r="E666" s="186">
        <v>5.75</v>
      </c>
      <c r="F666" s="186">
        <v>5.44</v>
      </c>
      <c r="G666" s="186">
        <v>2.8847484259999998</v>
      </c>
    </row>
    <row r="667" spans="1:7" ht="14.4">
      <c r="A667" s="186">
        <v>666</v>
      </c>
      <c r="B667" s="186" t="s">
        <v>184</v>
      </c>
      <c r="C667" s="186" t="s">
        <v>895</v>
      </c>
      <c r="D667" s="186">
        <v>697.5</v>
      </c>
      <c r="E667" s="186">
        <v>5.52</v>
      </c>
      <c r="F667" s="186">
        <v>5.44</v>
      </c>
      <c r="G667" s="186">
        <v>2.8847484259999998</v>
      </c>
    </row>
    <row r="668" spans="1:7" ht="14.4">
      <c r="A668" s="186">
        <v>667</v>
      </c>
      <c r="B668" s="186" t="s">
        <v>175</v>
      </c>
      <c r="C668" s="186" t="s">
        <v>896</v>
      </c>
      <c r="D668" s="186">
        <v>12.5</v>
      </c>
      <c r="E668" s="186">
        <v>5.39</v>
      </c>
      <c r="F668" s="186">
        <v>5.45</v>
      </c>
      <c r="G668" s="186">
        <v>2.8902251880000001</v>
      </c>
    </row>
    <row r="669" spans="1:7" ht="14.4">
      <c r="A669" s="186">
        <v>668</v>
      </c>
      <c r="B669" s="186" t="s">
        <v>194</v>
      </c>
      <c r="C669" s="186" t="s">
        <v>897</v>
      </c>
      <c r="D669" s="186">
        <v>11</v>
      </c>
      <c r="E669" s="186">
        <v>5.56</v>
      </c>
      <c r="F669" s="186">
        <v>5.45</v>
      </c>
      <c r="G669" s="186">
        <v>2.8902251880000001</v>
      </c>
    </row>
    <row r="670" spans="1:7" ht="14.4">
      <c r="A670" s="186">
        <v>669</v>
      </c>
      <c r="B670" s="186" t="s">
        <v>898</v>
      </c>
      <c r="C670" s="186" t="s">
        <v>899</v>
      </c>
      <c r="D670" s="186">
        <v>675.1</v>
      </c>
      <c r="E670" s="186">
        <v>5.79</v>
      </c>
      <c r="F670" s="186">
        <v>5.46</v>
      </c>
      <c r="G670" s="186">
        <v>2.895711827</v>
      </c>
    </row>
    <row r="671" spans="1:7" ht="14.4">
      <c r="A671" s="186">
        <v>670</v>
      </c>
      <c r="B671" s="186" t="s">
        <v>303</v>
      </c>
      <c r="C671" s="186" t="s">
        <v>900</v>
      </c>
      <c r="D671" s="186">
        <v>3.8</v>
      </c>
      <c r="E671" s="186">
        <v>5.31</v>
      </c>
      <c r="F671" s="186">
        <v>5.46</v>
      </c>
      <c r="G671" s="186">
        <v>2.895711827</v>
      </c>
    </row>
    <row r="672" spans="1:7" ht="14.4">
      <c r="A672" s="186">
        <v>671</v>
      </c>
      <c r="B672" s="186" t="s">
        <v>415</v>
      </c>
      <c r="C672" s="186" t="s">
        <v>901</v>
      </c>
      <c r="D672" s="186">
        <v>16.5</v>
      </c>
      <c r="E672" s="186">
        <v>5.59</v>
      </c>
      <c r="F672" s="186">
        <v>5.46</v>
      </c>
      <c r="G672" s="186">
        <v>2.895711827</v>
      </c>
    </row>
    <row r="673" spans="1:7" ht="14.4">
      <c r="A673" s="186">
        <v>672</v>
      </c>
      <c r="B673" s="186" t="s">
        <v>213</v>
      </c>
      <c r="C673" s="186" t="s">
        <v>902</v>
      </c>
      <c r="D673" s="186">
        <v>125.9</v>
      </c>
      <c r="E673" s="186">
        <v>5.6</v>
      </c>
      <c r="F673" s="186">
        <v>5.46</v>
      </c>
      <c r="G673" s="186">
        <v>2.895711827</v>
      </c>
    </row>
    <row r="674" spans="1:7" ht="14.4">
      <c r="A674" s="186">
        <v>673</v>
      </c>
      <c r="B674" s="186" t="s">
        <v>340</v>
      </c>
      <c r="C674" s="186" t="s">
        <v>903</v>
      </c>
      <c r="D674" s="186">
        <v>54.1</v>
      </c>
      <c r="E674" s="186">
        <v>5.8</v>
      </c>
      <c r="F674" s="186">
        <v>5.46</v>
      </c>
      <c r="G674" s="186">
        <v>2.895711827</v>
      </c>
    </row>
    <row r="675" spans="1:7" ht="14.4">
      <c r="A675" s="186">
        <v>674</v>
      </c>
      <c r="B675" s="186" t="s">
        <v>340</v>
      </c>
      <c r="C675" s="186" t="s">
        <v>904</v>
      </c>
      <c r="D675" s="186">
        <v>175.2</v>
      </c>
      <c r="E675" s="186">
        <v>5.68</v>
      </c>
      <c r="F675" s="186">
        <v>5.46</v>
      </c>
      <c r="G675" s="186">
        <v>2.895711827</v>
      </c>
    </row>
    <row r="676" spans="1:7" ht="14.4">
      <c r="A676" s="186">
        <v>675</v>
      </c>
      <c r="B676" s="186" t="s">
        <v>178</v>
      </c>
      <c r="C676" s="186" t="s">
        <v>905</v>
      </c>
      <c r="D676" s="186">
        <v>705.2</v>
      </c>
      <c r="E676" s="186">
        <v>5.27</v>
      </c>
      <c r="F676" s="186">
        <v>5.47</v>
      </c>
      <c r="G676" s="186">
        <v>2.90120836</v>
      </c>
    </row>
    <row r="677" spans="1:7" ht="14.4">
      <c r="A677" s="186">
        <v>676</v>
      </c>
      <c r="B677" s="186" t="s">
        <v>415</v>
      </c>
      <c r="C677" s="186" t="s">
        <v>906</v>
      </c>
      <c r="D677" s="186">
        <v>59.2</v>
      </c>
      <c r="E677" s="186">
        <v>5.58</v>
      </c>
      <c r="F677" s="186">
        <v>5.47</v>
      </c>
      <c r="G677" s="186">
        <v>2.90120836</v>
      </c>
    </row>
    <row r="678" spans="1:7" ht="14.4">
      <c r="A678" s="186">
        <v>677</v>
      </c>
      <c r="B678" s="186" t="s">
        <v>271</v>
      </c>
      <c r="C678" s="186" t="s">
        <v>907</v>
      </c>
      <c r="D678" s="186">
        <v>0.8</v>
      </c>
      <c r="E678" s="186">
        <v>5.5</v>
      </c>
      <c r="F678" s="186">
        <v>5.48</v>
      </c>
      <c r="G678" s="186">
        <v>2.9067148029999998</v>
      </c>
    </row>
    <row r="679" spans="1:7" ht="14.4">
      <c r="A679" s="186">
        <v>678</v>
      </c>
      <c r="B679" s="186" t="s">
        <v>422</v>
      </c>
      <c r="C679" s="186" t="s">
        <v>908</v>
      </c>
      <c r="D679" s="186">
        <v>40.6</v>
      </c>
      <c r="E679" s="186">
        <v>5.78</v>
      </c>
      <c r="F679" s="186">
        <v>5.48</v>
      </c>
      <c r="G679" s="186">
        <v>2.9067148029999998</v>
      </c>
    </row>
    <row r="680" spans="1:7" ht="14.4">
      <c r="A680" s="186">
        <v>679</v>
      </c>
      <c r="B680" s="186" t="s">
        <v>122</v>
      </c>
      <c r="C680" s="186" t="s">
        <v>909</v>
      </c>
      <c r="D680" s="186">
        <v>292</v>
      </c>
      <c r="E680" s="186">
        <v>5.58</v>
      </c>
      <c r="F680" s="186">
        <v>5.48</v>
      </c>
      <c r="G680" s="186">
        <v>2.9067148029999998</v>
      </c>
    </row>
    <row r="681" spans="1:7" ht="14.4">
      <c r="A681" s="186">
        <v>680</v>
      </c>
      <c r="B681" s="186" t="s">
        <v>146</v>
      </c>
      <c r="C681" s="186" t="s">
        <v>910</v>
      </c>
      <c r="D681" s="187">
        <v>3448.2</v>
      </c>
      <c r="E681" s="186">
        <v>5.57</v>
      </c>
      <c r="F681" s="186">
        <v>5.48</v>
      </c>
      <c r="G681" s="186">
        <v>2.9067148029999998</v>
      </c>
    </row>
    <row r="682" spans="1:7" ht="14.4">
      <c r="A682" s="186">
        <v>681</v>
      </c>
      <c r="B682" s="186" t="s">
        <v>553</v>
      </c>
      <c r="C682" s="186" t="s">
        <v>911</v>
      </c>
      <c r="D682" s="186">
        <v>155.30000000000001</v>
      </c>
      <c r="E682" s="186">
        <v>5.53</v>
      </c>
      <c r="F682" s="186">
        <v>5.48</v>
      </c>
      <c r="G682" s="186">
        <v>2.9067148029999998</v>
      </c>
    </row>
    <row r="683" spans="1:7" ht="14.4">
      <c r="A683" s="186">
        <v>682</v>
      </c>
      <c r="B683" s="186" t="s">
        <v>162</v>
      </c>
      <c r="C683" s="186" t="s">
        <v>912</v>
      </c>
      <c r="D683" s="186">
        <v>537.4</v>
      </c>
      <c r="E683" s="186">
        <v>5.61</v>
      </c>
      <c r="F683" s="186">
        <v>5.49</v>
      </c>
      <c r="G683" s="186">
        <v>2.9122311750000001</v>
      </c>
    </row>
    <row r="684" spans="1:7" ht="14.4">
      <c r="A684" s="186">
        <v>683</v>
      </c>
      <c r="B684" s="186" t="s">
        <v>271</v>
      </c>
      <c r="C684" s="186" t="s">
        <v>913</v>
      </c>
      <c r="D684" s="186">
        <v>0.2</v>
      </c>
      <c r="E684" s="186">
        <v>5.78</v>
      </c>
      <c r="F684" s="186">
        <v>5.5</v>
      </c>
      <c r="G684" s="186">
        <v>2.9177574910000001</v>
      </c>
    </row>
    <row r="685" spans="1:7" ht="14.4">
      <c r="A685" s="186">
        <v>684</v>
      </c>
      <c r="B685" s="186" t="s">
        <v>162</v>
      </c>
      <c r="C685" s="186" t="s">
        <v>914</v>
      </c>
      <c r="D685" s="186">
        <v>198.3</v>
      </c>
      <c r="E685" s="186">
        <v>5.77</v>
      </c>
      <c r="F685" s="186">
        <v>5.5</v>
      </c>
      <c r="G685" s="186">
        <v>2.9177574910000001</v>
      </c>
    </row>
    <row r="686" spans="1:7" ht="14.4">
      <c r="A686" s="186">
        <v>685</v>
      </c>
      <c r="B686" s="186" t="s">
        <v>286</v>
      </c>
      <c r="C686" s="186" t="s">
        <v>915</v>
      </c>
      <c r="D686" s="186">
        <v>873.9</v>
      </c>
      <c r="E686" s="186">
        <v>5.7</v>
      </c>
      <c r="F686" s="186">
        <v>5.5</v>
      </c>
      <c r="G686" s="186">
        <v>2.9177574910000001</v>
      </c>
    </row>
    <row r="687" spans="1:7" ht="14.4">
      <c r="A687" s="186">
        <v>686</v>
      </c>
      <c r="B687" s="186" t="s">
        <v>146</v>
      </c>
      <c r="C687" s="186" t="s">
        <v>916</v>
      </c>
      <c r="D687" s="186">
        <v>2.2000000000000002</v>
      </c>
      <c r="E687" s="186">
        <v>5.61</v>
      </c>
      <c r="F687" s="186">
        <v>5.5</v>
      </c>
      <c r="G687" s="186">
        <v>2.9177574910000001</v>
      </c>
    </row>
    <row r="688" spans="1:7" ht="14.4">
      <c r="A688" s="186">
        <v>687</v>
      </c>
      <c r="B688" s="186" t="s">
        <v>488</v>
      </c>
      <c r="C688" s="186" t="s">
        <v>917</v>
      </c>
      <c r="D688" s="186">
        <v>118.4</v>
      </c>
      <c r="E688" s="186">
        <v>5.64</v>
      </c>
      <c r="F688" s="186">
        <v>5.5</v>
      </c>
      <c r="G688" s="186">
        <v>2.9177574910000001</v>
      </c>
    </row>
    <row r="689" spans="1:7" ht="14.4">
      <c r="A689" s="186">
        <v>688</v>
      </c>
      <c r="B689" s="186" t="s">
        <v>213</v>
      </c>
      <c r="C689" s="186" t="s">
        <v>918</v>
      </c>
      <c r="D689" s="186">
        <v>0.5</v>
      </c>
      <c r="E689" s="186">
        <v>5.73</v>
      </c>
      <c r="F689" s="186">
        <v>5.5</v>
      </c>
      <c r="G689" s="186">
        <v>2.9177574910000001</v>
      </c>
    </row>
    <row r="690" spans="1:7" ht="14.4">
      <c r="A690" s="186">
        <v>689</v>
      </c>
      <c r="B690" s="186" t="s">
        <v>241</v>
      </c>
      <c r="C690" s="186" t="s">
        <v>919</v>
      </c>
      <c r="D690" s="186">
        <v>21.5</v>
      </c>
      <c r="E690" s="186">
        <v>6.09</v>
      </c>
      <c r="F690" s="186">
        <v>5.51</v>
      </c>
      <c r="G690" s="186">
        <v>2.9232937680000002</v>
      </c>
    </row>
    <row r="691" spans="1:7" ht="14.4">
      <c r="A691" s="186">
        <v>690</v>
      </c>
      <c r="B691" s="186" t="s">
        <v>162</v>
      </c>
      <c r="C691" s="186" t="s">
        <v>920</v>
      </c>
      <c r="D691" s="186">
        <v>15.6</v>
      </c>
      <c r="E691" s="186">
        <v>5.63</v>
      </c>
      <c r="F691" s="186">
        <v>5.51</v>
      </c>
      <c r="G691" s="186">
        <v>2.9232937680000002</v>
      </c>
    </row>
    <row r="692" spans="1:7" ht="14.4">
      <c r="A692" s="186">
        <v>691</v>
      </c>
      <c r="B692" s="186" t="s">
        <v>553</v>
      </c>
      <c r="C692" s="186" t="s">
        <v>921</v>
      </c>
      <c r="D692" s="186">
        <v>19.100000000000001</v>
      </c>
      <c r="E692" s="186">
        <v>5.25</v>
      </c>
      <c r="F692" s="186">
        <v>5.51</v>
      </c>
      <c r="G692" s="186">
        <v>2.9232937680000002</v>
      </c>
    </row>
    <row r="693" spans="1:7" ht="14.4">
      <c r="A693" s="186">
        <v>692</v>
      </c>
      <c r="B693" s="186" t="s">
        <v>213</v>
      </c>
      <c r="C693" s="186" t="s">
        <v>922</v>
      </c>
      <c r="D693" s="186">
        <v>280.39999999999998</v>
      </c>
      <c r="E693" s="186">
        <v>5.84</v>
      </c>
      <c r="F693" s="186">
        <v>5.51</v>
      </c>
      <c r="G693" s="186">
        <v>2.9232937680000002</v>
      </c>
    </row>
    <row r="694" spans="1:7" ht="14.4">
      <c r="A694" s="186">
        <v>693</v>
      </c>
      <c r="B694" s="186" t="s">
        <v>138</v>
      </c>
      <c r="C694" s="186" t="s">
        <v>923</v>
      </c>
      <c r="D694" s="186">
        <v>9.6</v>
      </c>
      <c r="E694" s="186">
        <v>5.65</v>
      </c>
      <c r="F694" s="186">
        <v>5.52</v>
      </c>
      <c r="G694" s="186">
        <v>2.9288400239999999</v>
      </c>
    </row>
    <row r="695" spans="1:7" ht="14.4">
      <c r="A695" s="186">
        <v>694</v>
      </c>
      <c r="B695" s="186" t="s">
        <v>138</v>
      </c>
      <c r="C695" s="186" t="s">
        <v>924</v>
      </c>
      <c r="D695" s="186">
        <v>3.2</v>
      </c>
      <c r="E695" s="186">
        <v>5.77</v>
      </c>
      <c r="F695" s="186">
        <v>5.52</v>
      </c>
      <c r="G695" s="186">
        <v>2.9288400239999999</v>
      </c>
    </row>
    <row r="696" spans="1:7" ht="14.4">
      <c r="A696" s="186">
        <v>695</v>
      </c>
      <c r="B696" s="186" t="s">
        <v>263</v>
      </c>
      <c r="C696" s="186" t="s">
        <v>925</v>
      </c>
      <c r="D696" s="187">
        <v>3647.7</v>
      </c>
      <c r="E696" s="186">
        <v>5.2</v>
      </c>
      <c r="F696" s="186">
        <v>5.52</v>
      </c>
      <c r="G696" s="186">
        <v>2.9288400239999999</v>
      </c>
    </row>
    <row r="697" spans="1:7" ht="14.4">
      <c r="A697" s="186">
        <v>696</v>
      </c>
      <c r="B697" s="186" t="s">
        <v>194</v>
      </c>
      <c r="C697" s="186" t="s">
        <v>926</v>
      </c>
      <c r="D697" s="186">
        <v>2.1</v>
      </c>
      <c r="E697" s="186">
        <v>5.63</v>
      </c>
      <c r="F697" s="186">
        <v>5.52</v>
      </c>
      <c r="G697" s="186">
        <v>2.9288400239999999</v>
      </c>
    </row>
    <row r="698" spans="1:7" ht="14.4">
      <c r="A698" s="186">
        <v>697</v>
      </c>
      <c r="B698" s="186" t="s">
        <v>146</v>
      </c>
      <c r="C698" s="186" t="s">
        <v>927</v>
      </c>
      <c r="D698" s="186">
        <v>19.3</v>
      </c>
      <c r="E698" s="186">
        <v>5.91</v>
      </c>
      <c r="F698" s="186">
        <v>5.52</v>
      </c>
      <c r="G698" s="186">
        <v>2.9288400239999999</v>
      </c>
    </row>
    <row r="699" spans="1:7" ht="14.4">
      <c r="A699" s="186">
        <v>698</v>
      </c>
      <c r="B699" s="186" t="s">
        <v>280</v>
      </c>
      <c r="C699" s="186" t="s">
        <v>928</v>
      </c>
      <c r="D699" s="186">
        <v>521.70000000000005</v>
      </c>
      <c r="E699" s="186">
        <v>5.5</v>
      </c>
      <c r="F699" s="186">
        <v>5.52</v>
      </c>
      <c r="G699" s="186">
        <v>2.9288400239999999</v>
      </c>
    </row>
    <row r="700" spans="1:7" ht="14.4">
      <c r="A700" s="186">
        <v>699</v>
      </c>
      <c r="B700" s="186" t="s">
        <v>234</v>
      </c>
      <c r="C700" s="186" t="s">
        <v>929</v>
      </c>
      <c r="D700" s="186">
        <v>197.1</v>
      </c>
      <c r="E700" s="186">
        <v>6</v>
      </c>
      <c r="F700" s="186">
        <v>5.53</v>
      </c>
      <c r="G700" s="186">
        <v>2.9343962760000002</v>
      </c>
    </row>
    <row r="701" spans="1:7" ht="14.4">
      <c r="A701" s="186">
        <v>700</v>
      </c>
      <c r="B701" s="186" t="s">
        <v>175</v>
      </c>
      <c r="C701" s="186" t="s">
        <v>930</v>
      </c>
      <c r="D701" s="186">
        <v>84.1</v>
      </c>
      <c r="E701" s="186">
        <v>5.86</v>
      </c>
      <c r="F701" s="186">
        <v>5.53</v>
      </c>
      <c r="G701" s="186">
        <v>2.9343962760000002</v>
      </c>
    </row>
    <row r="702" spans="1:7" ht="14.4">
      <c r="A702" s="186">
        <v>701</v>
      </c>
      <c r="B702" s="186" t="s">
        <v>153</v>
      </c>
      <c r="C702" s="186" t="s">
        <v>931</v>
      </c>
      <c r="D702" s="186">
        <v>7.9</v>
      </c>
      <c r="E702" s="186">
        <v>5.4</v>
      </c>
      <c r="F702" s="186">
        <v>5.53</v>
      </c>
      <c r="G702" s="186">
        <v>2.9343962760000002</v>
      </c>
    </row>
    <row r="703" spans="1:7" ht="14.4">
      <c r="A703" s="186">
        <v>702</v>
      </c>
      <c r="B703" s="186" t="s">
        <v>210</v>
      </c>
      <c r="C703" s="186" t="s">
        <v>932</v>
      </c>
      <c r="D703" s="186">
        <v>50.3</v>
      </c>
      <c r="E703" s="186">
        <v>5.88</v>
      </c>
      <c r="F703" s="186">
        <v>5.53</v>
      </c>
      <c r="G703" s="186">
        <v>2.9343962760000002</v>
      </c>
    </row>
    <row r="704" spans="1:7" ht="14.4">
      <c r="A704" s="186">
        <v>703</v>
      </c>
      <c r="B704" s="186" t="s">
        <v>488</v>
      </c>
      <c r="C704" s="186" t="s">
        <v>933</v>
      </c>
      <c r="D704" s="187">
        <v>1051.0999999999999</v>
      </c>
      <c r="E704" s="186">
        <v>6</v>
      </c>
      <c r="F704" s="186">
        <v>5.53</v>
      </c>
      <c r="G704" s="186">
        <v>2.9343962760000002</v>
      </c>
    </row>
    <row r="705" spans="1:7" ht="14.4">
      <c r="A705" s="186">
        <v>704</v>
      </c>
      <c r="B705" s="186" t="s">
        <v>335</v>
      </c>
      <c r="C705" s="186" t="s">
        <v>934</v>
      </c>
      <c r="D705" s="186">
        <v>39.5</v>
      </c>
      <c r="E705" s="186">
        <v>5.87</v>
      </c>
      <c r="F705" s="186">
        <v>5.53</v>
      </c>
      <c r="G705" s="186">
        <v>2.9343962760000002</v>
      </c>
    </row>
    <row r="706" spans="1:7" ht="14.4">
      <c r="A706" s="186">
        <v>705</v>
      </c>
      <c r="B706" s="186" t="s">
        <v>317</v>
      </c>
      <c r="C706" s="186" t="s">
        <v>935</v>
      </c>
      <c r="D706" s="186">
        <v>6.2</v>
      </c>
      <c r="E706" s="186">
        <v>5.82</v>
      </c>
      <c r="F706" s="186">
        <v>5.53</v>
      </c>
      <c r="G706" s="186">
        <v>2.9343962760000002</v>
      </c>
    </row>
    <row r="707" spans="1:7" ht="14.4">
      <c r="A707" s="186">
        <v>706</v>
      </c>
      <c r="B707" s="186" t="s">
        <v>138</v>
      </c>
      <c r="C707" s="186" t="s">
        <v>936</v>
      </c>
      <c r="D707" s="186">
        <v>11.9</v>
      </c>
      <c r="E707" s="186">
        <v>5.94</v>
      </c>
      <c r="F707" s="186">
        <v>5.54</v>
      </c>
      <c r="G707" s="186">
        <v>2.9399625399999998</v>
      </c>
    </row>
    <row r="708" spans="1:7" ht="14.4">
      <c r="A708" s="186">
        <v>707</v>
      </c>
      <c r="B708" s="186" t="s">
        <v>178</v>
      </c>
      <c r="C708" s="186" t="s">
        <v>937</v>
      </c>
      <c r="D708" s="186">
        <v>0.4</v>
      </c>
      <c r="E708" s="186">
        <v>5.65</v>
      </c>
      <c r="F708" s="186">
        <v>5.54</v>
      </c>
      <c r="G708" s="186">
        <v>2.9399625399999998</v>
      </c>
    </row>
    <row r="709" spans="1:7" ht="14.4">
      <c r="A709" s="186">
        <v>708</v>
      </c>
      <c r="B709" s="186" t="s">
        <v>938</v>
      </c>
      <c r="C709" s="186" t="s">
        <v>939</v>
      </c>
      <c r="D709" s="186">
        <v>172.6</v>
      </c>
      <c r="E709" s="186">
        <v>5.8</v>
      </c>
      <c r="F709" s="186">
        <v>5.54</v>
      </c>
      <c r="G709" s="186">
        <v>2.9399625399999998</v>
      </c>
    </row>
    <row r="710" spans="1:7" ht="14.4">
      <c r="A710" s="186">
        <v>709</v>
      </c>
      <c r="B710" s="186" t="s">
        <v>307</v>
      </c>
      <c r="C710" s="186" t="s">
        <v>940</v>
      </c>
      <c r="D710" s="186">
        <v>17.5</v>
      </c>
      <c r="E710" s="186">
        <v>5.86</v>
      </c>
      <c r="F710" s="186">
        <v>5.54</v>
      </c>
      <c r="G710" s="186">
        <v>2.9399625399999998</v>
      </c>
    </row>
    <row r="711" spans="1:7" ht="14.4">
      <c r="A711" s="186">
        <v>710</v>
      </c>
      <c r="B711" s="186" t="s">
        <v>941</v>
      </c>
      <c r="C711" s="186" t="s">
        <v>942</v>
      </c>
      <c r="D711" s="186">
        <v>5.6</v>
      </c>
      <c r="E711" s="186">
        <v>5.6</v>
      </c>
      <c r="F711" s="186">
        <v>5.54</v>
      </c>
      <c r="G711" s="186">
        <v>2.9399625399999998</v>
      </c>
    </row>
    <row r="712" spans="1:7" ht="14.4">
      <c r="A712" s="186">
        <v>711</v>
      </c>
      <c r="B712" s="186" t="s">
        <v>488</v>
      </c>
      <c r="C712" s="186" t="s">
        <v>943</v>
      </c>
      <c r="D712" s="186">
        <v>9.9</v>
      </c>
      <c r="E712" s="186">
        <v>5.78</v>
      </c>
      <c r="F712" s="186">
        <v>5.54</v>
      </c>
      <c r="G712" s="186">
        <v>2.9399625399999998</v>
      </c>
    </row>
    <row r="713" spans="1:7" ht="14.4">
      <c r="A713" s="186">
        <v>712</v>
      </c>
      <c r="B713" s="186" t="s">
        <v>944</v>
      </c>
      <c r="C713" s="186" t="s">
        <v>945</v>
      </c>
      <c r="D713" s="186">
        <v>85.9</v>
      </c>
      <c r="E713" s="186">
        <v>5.81</v>
      </c>
      <c r="F713" s="186">
        <v>5.54</v>
      </c>
      <c r="G713" s="186">
        <v>2.9399625399999998</v>
      </c>
    </row>
    <row r="714" spans="1:7" ht="14.4">
      <c r="A714" s="186">
        <v>713</v>
      </c>
      <c r="B714" s="186" t="s">
        <v>213</v>
      </c>
      <c r="C714" s="186" t="s">
        <v>946</v>
      </c>
      <c r="D714" s="186">
        <v>359.7</v>
      </c>
      <c r="E714" s="186">
        <v>5.87</v>
      </c>
      <c r="F714" s="186">
        <v>5.54</v>
      </c>
      <c r="G714" s="186">
        <v>2.9399625399999998</v>
      </c>
    </row>
    <row r="715" spans="1:7" ht="14.4">
      <c r="A715" s="186">
        <v>714</v>
      </c>
      <c r="B715" s="186" t="s">
        <v>241</v>
      </c>
      <c r="C715" s="186" t="s">
        <v>947</v>
      </c>
      <c r="D715" s="186">
        <v>312.89999999999998</v>
      </c>
      <c r="E715" s="186">
        <v>6.12</v>
      </c>
      <c r="F715" s="186">
        <v>5.55</v>
      </c>
      <c r="G715" s="186">
        <v>2.9455388340000002</v>
      </c>
    </row>
    <row r="716" spans="1:7" ht="14.4">
      <c r="A716" s="186">
        <v>715</v>
      </c>
      <c r="B716" s="186" t="s">
        <v>948</v>
      </c>
      <c r="C716" s="186" t="s">
        <v>949</v>
      </c>
      <c r="D716" s="186">
        <v>2.1</v>
      </c>
      <c r="E716" s="186">
        <v>5.92</v>
      </c>
      <c r="F716" s="186">
        <v>5.55</v>
      </c>
      <c r="G716" s="186">
        <v>2.9455388340000002</v>
      </c>
    </row>
    <row r="717" spans="1:7" ht="14.4">
      <c r="A717" s="186">
        <v>716</v>
      </c>
      <c r="B717" s="186" t="s">
        <v>241</v>
      </c>
      <c r="C717" s="186" t="s">
        <v>950</v>
      </c>
      <c r="D717" s="186">
        <v>466.5</v>
      </c>
      <c r="E717" s="186">
        <v>5.59</v>
      </c>
      <c r="F717" s="186">
        <v>5.56</v>
      </c>
      <c r="G717" s="186">
        <v>2.951125175</v>
      </c>
    </row>
    <row r="718" spans="1:7" ht="14.4">
      <c r="A718" s="186">
        <v>717</v>
      </c>
      <c r="B718" s="186" t="s">
        <v>271</v>
      </c>
      <c r="C718" s="186" t="s">
        <v>951</v>
      </c>
      <c r="D718" s="186">
        <v>0.1</v>
      </c>
      <c r="E718" s="186">
        <v>5.42</v>
      </c>
      <c r="F718" s="186">
        <v>5.56</v>
      </c>
      <c r="G718" s="186">
        <v>2.951125175</v>
      </c>
    </row>
    <row r="719" spans="1:7" ht="14.4">
      <c r="A719" s="186">
        <v>718</v>
      </c>
      <c r="B719" s="186" t="s">
        <v>178</v>
      </c>
      <c r="C719" s="186" t="s">
        <v>952</v>
      </c>
      <c r="D719" s="186">
        <v>105.8</v>
      </c>
      <c r="E719" s="186">
        <v>5.68</v>
      </c>
      <c r="F719" s="186">
        <v>5.56</v>
      </c>
      <c r="G719" s="186">
        <v>2.951125175</v>
      </c>
    </row>
    <row r="720" spans="1:7" ht="14.4">
      <c r="A720" s="186">
        <v>719</v>
      </c>
      <c r="B720" s="186" t="s">
        <v>953</v>
      </c>
      <c r="C720" s="186" t="s">
        <v>954</v>
      </c>
      <c r="D720" s="186">
        <v>57.6</v>
      </c>
      <c r="E720" s="186">
        <v>5.45</v>
      </c>
      <c r="F720" s="186">
        <v>5.56</v>
      </c>
      <c r="G720" s="186">
        <v>2.951125175</v>
      </c>
    </row>
    <row r="721" spans="1:7" ht="14.4">
      <c r="A721" s="186">
        <v>720</v>
      </c>
      <c r="B721" s="186" t="s">
        <v>146</v>
      </c>
      <c r="C721" s="186" t="s">
        <v>955</v>
      </c>
      <c r="D721" s="186">
        <v>83.8</v>
      </c>
      <c r="E721" s="186" t="s">
        <v>152</v>
      </c>
      <c r="F721" s="186">
        <v>5.56</v>
      </c>
      <c r="G721" s="186">
        <v>2.951125175</v>
      </c>
    </row>
    <row r="722" spans="1:7" ht="14.4">
      <c r="A722" s="186">
        <v>721</v>
      </c>
      <c r="B722" s="186" t="s">
        <v>148</v>
      </c>
      <c r="C722" s="186" t="s">
        <v>956</v>
      </c>
      <c r="D722" s="186">
        <v>1.4</v>
      </c>
      <c r="E722" s="186">
        <v>5.61</v>
      </c>
      <c r="F722" s="186">
        <v>5.56</v>
      </c>
      <c r="G722" s="186">
        <v>2.951125175</v>
      </c>
    </row>
    <row r="723" spans="1:7" ht="14.4">
      <c r="A723" s="186">
        <v>722</v>
      </c>
      <c r="B723" s="186" t="s">
        <v>148</v>
      </c>
      <c r="C723" s="186" t="s">
        <v>957</v>
      </c>
      <c r="D723" s="186">
        <v>13.8</v>
      </c>
      <c r="E723" s="186">
        <v>6.12</v>
      </c>
      <c r="F723" s="186">
        <v>5.56</v>
      </c>
      <c r="G723" s="186">
        <v>2.951125175</v>
      </c>
    </row>
    <row r="724" spans="1:7" ht="14.4">
      <c r="A724" s="186">
        <v>723</v>
      </c>
      <c r="B724" s="186" t="s">
        <v>415</v>
      </c>
      <c r="C724" s="186" t="s">
        <v>958</v>
      </c>
      <c r="D724" s="186">
        <v>626.1</v>
      </c>
      <c r="E724" s="186">
        <v>5.71</v>
      </c>
      <c r="F724" s="186">
        <v>5.56</v>
      </c>
      <c r="G724" s="186">
        <v>2.951125175</v>
      </c>
    </row>
    <row r="725" spans="1:7" ht="14.4">
      <c r="A725" s="186">
        <v>724</v>
      </c>
      <c r="B725" s="186" t="s">
        <v>488</v>
      </c>
      <c r="C725" s="186" t="s">
        <v>959</v>
      </c>
      <c r="D725" s="186">
        <v>148.1</v>
      </c>
      <c r="E725" s="186">
        <v>5.94</v>
      </c>
      <c r="F725" s="186">
        <v>5.56</v>
      </c>
      <c r="G725" s="186">
        <v>2.951125175</v>
      </c>
    </row>
    <row r="726" spans="1:7" ht="14.4">
      <c r="A726" s="186">
        <v>725</v>
      </c>
      <c r="B726" s="186" t="s">
        <v>178</v>
      </c>
      <c r="C726" s="186" t="s">
        <v>960</v>
      </c>
      <c r="D726" s="186">
        <v>0.1</v>
      </c>
      <c r="E726" s="186">
        <v>5.68</v>
      </c>
      <c r="F726" s="186">
        <v>5.57</v>
      </c>
      <c r="G726" s="186">
        <v>2.95672158</v>
      </c>
    </row>
    <row r="727" spans="1:7" ht="14.4">
      <c r="A727" s="186">
        <v>726</v>
      </c>
      <c r="B727" s="186" t="s">
        <v>286</v>
      </c>
      <c r="C727" s="186" t="s">
        <v>961</v>
      </c>
      <c r="D727" s="186">
        <v>593.70000000000005</v>
      </c>
      <c r="E727" s="186">
        <v>5.91</v>
      </c>
      <c r="F727" s="186">
        <v>5.57</v>
      </c>
      <c r="G727" s="186">
        <v>2.95672158</v>
      </c>
    </row>
    <row r="728" spans="1:7" ht="14.4">
      <c r="A728" s="186">
        <v>727</v>
      </c>
      <c r="B728" s="186" t="s">
        <v>175</v>
      </c>
      <c r="C728" s="186" t="s">
        <v>962</v>
      </c>
      <c r="D728" s="186">
        <v>26.1</v>
      </c>
      <c r="E728" s="186">
        <v>5.5</v>
      </c>
      <c r="F728" s="186">
        <v>5.57</v>
      </c>
      <c r="G728" s="186">
        <v>2.95672158</v>
      </c>
    </row>
    <row r="729" spans="1:7" ht="14.4">
      <c r="A729" s="186">
        <v>728</v>
      </c>
      <c r="B729" s="186" t="s">
        <v>245</v>
      </c>
      <c r="C729" s="186" t="s">
        <v>963</v>
      </c>
      <c r="D729" s="187">
        <v>1760</v>
      </c>
      <c r="E729" s="186">
        <v>5.58</v>
      </c>
      <c r="F729" s="186">
        <v>5.57</v>
      </c>
      <c r="G729" s="186">
        <v>2.95672158</v>
      </c>
    </row>
    <row r="730" spans="1:7" ht="14.4">
      <c r="A730" s="186">
        <v>729</v>
      </c>
      <c r="B730" s="186" t="s">
        <v>824</v>
      </c>
      <c r="C730" s="186" t="s">
        <v>964</v>
      </c>
      <c r="D730" s="186">
        <v>39.6</v>
      </c>
      <c r="E730" s="186">
        <v>5.86</v>
      </c>
      <c r="F730" s="186">
        <v>5.58</v>
      </c>
      <c r="G730" s="186">
        <v>2.962328066</v>
      </c>
    </row>
    <row r="731" spans="1:7" ht="14.4">
      <c r="A731" s="186">
        <v>730</v>
      </c>
      <c r="B731" s="186" t="s">
        <v>178</v>
      </c>
      <c r="C731" s="186" t="s">
        <v>965</v>
      </c>
      <c r="D731" s="186">
        <v>0.1</v>
      </c>
      <c r="E731" s="186">
        <v>5.88</v>
      </c>
      <c r="F731" s="186">
        <v>5.58</v>
      </c>
      <c r="G731" s="186">
        <v>2.962328066</v>
      </c>
    </row>
    <row r="732" spans="1:7" ht="14.4">
      <c r="A732" s="186">
        <v>731</v>
      </c>
      <c r="B732" s="186" t="s">
        <v>175</v>
      </c>
      <c r="C732" s="186" t="s">
        <v>966</v>
      </c>
      <c r="D732" s="186">
        <v>583.6</v>
      </c>
      <c r="E732" s="186">
        <v>5.8</v>
      </c>
      <c r="F732" s="186">
        <v>5.58</v>
      </c>
      <c r="G732" s="186">
        <v>2.962328066</v>
      </c>
    </row>
    <row r="733" spans="1:7" ht="14.4">
      <c r="A733" s="186">
        <v>732</v>
      </c>
      <c r="B733" s="186" t="s">
        <v>175</v>
      </c>
      <c r="C733" s="186" t="s">
        <v>967</v>
      </c>
      <c r="D733" s="186">
        <v>4.4000000000000004</v>
      </c>
      <c r="E733" s="186">
        <v>5.88</v>
      </c>
      <c r="F733" s="186">
        <v>5.58</v>
      </c>
      <c r="G733" s="186">
        <v>2.962328066</v>
      </c>
    </row>
    <row r="734" spans="1:7" ht="14.4">
      <c r="A734" s="186">
        <v>733</v>
      </c>
      <c r="B734" s="186" t="s">
        <v>210</v>
      </c>
      <c r="C734" s="186" t="s">
        <v>968</v>
      </c>
      <c r="D734" s="186">
        <v>90.5</v>
      </c>
      <c r="E734" s="186">
        <v>5.87</v>
      </c>
      <c r="F734" s="186">
        <v>5.58</v>
      </c>
      <c r="G734" s="186">
        <v>2.962328066</v>
      </c>
    </row>
    <row r="735" spans="1:7" ht="14.4">
      <c r="A735" s="186">
        <v>734</v>
      </c>
      <c r="B735" s="186" t="s">
        <v>969</v>
      </c>
      <c r="C735" s="186" t="s">
        <v>970</v>
      </c>
      <c r="D735" s="186">
        <v>250</v>
      </c>
      <c r="E735" s="186">
        <v>5.91</v>
      </c>
      <c r="F735" s="186">
        <v>5.58</v>
      </c>
      <c r="G735" s="186">
        <v>2.962328066</v>
      </c>
    </row>
    <row r="736" spans="1:7" ht="14.4">
      <c r="A736" s="186">
        <v>735</v>
      </c>
      <c r="B736" s="186" t="s">
        <v>348</v>
      </c>
      <c r="C736" s="186" t="s">
        <v>971</v>
      </c>
      <c r="D736" s="186">
        <v>11.3</v>
      </c>
      <c r="E736" s="186">
        <v>5.98</v>
      </c>
      <c r="F736" s="186">
        <v>5.58</v>
      </c>
      <c r="G736" s="186">
        <v>2.962328066</v>
      </c>
    </row>
    <row r="737" spans="1:7" ht="14.4">
      <c r="A737" s="186">
        <v>736</v>
      </c>
      <c r="B737" s="186" t="s">
        <v>834</v>
      </c>
      <c r="C737" s="186" t="s">
        <v>972</v>
      </c>
      <c r="D737" s="186">
        <v>92.4</v>
      </c>
      <c r="E737" s="186">
        <v>5.87</v>
      </c>
      <c r="F737" s="186">
        <v>5.58</v>
      </c>
      <c r="G737" s="186">
        <v>2.962328066</v>
      </c>
    </row>
    <row r="738" spans="1:7" ht="14.4">
      <c r="A738" s="186">
        <v>737</v>
      </c>
      <c r="B738" s="186" t="s">
        <v>271</v>
      </c>
      <c r="C738" s="186" t="s">
        <v>973</v>
      </c>
      <c r="D738" s="186">
        <v>30.4</v>
      </c>
      <c r="E738" s="186">
        <v>5.45</v>
      </c>
      <c r="F738" s="186">
        <v>5.59</v>
      </c>
      <c r="G738" s="186">
        <v>2.9679446509999998</v>
      </c>
    </row>
    <row r="739" spans="1:7" ht="14.4">
      <c r="A739" s="186">
        <v>738</v>
      </c>
      <c r="B739" s="186" t="s">
        <v>271</v>
      </c>
      <c r="C739" s="186" t="s">
        <v>974</v>
      </c>
      <c r="D739" s="186">
        <v>108.5</v>
      </c>
      <c r="E739" s="186">
        <v>5.67</v>
      </c>
      <c r="F739" s="186">
        <v>5.59</v>
      </c>
      <c r="G739" s="186">
        <v>2.9679446509999998</v>
      </c>
    </row>
    <row r="740" spans="1:7" ht="14.4">
      <c r="A740" s="186">
        <v>739</v>
      </c>
      <c r="B740" s="186" t="s">
        <v>178</v>
      </c>
      <c r="C740" s="186" t="s">
        <v>975</v>
      </c>
      <c r="D740" s="186">
        <v>0.4</v>
      </c>
      <c r="E740" s="186">
        <v>5.71</v>
      </c>
      <c r="F740" s="186">
        <v>5.59</v>
      </c>
      <c r="G740" s="186">
        <v>2.9679446509999998</v>
      </c>
    </row>
    <row r="741" spans="1:7" ht="14.4">
      <c r="A741" s="186">
        <v>740</v>
      </c>
      <c r="B741" s="186" t="s">
        <v>146</v>
      </c>
      <c r="C741" s="186" t="s">
        <v>976</v>
      </c>
      <c r="D741" s="186">
        <v>18.100000000000001</v>
      </c>
      <c r="E741" s="186">
        <v>5.98</v>
      </c>
      <c r="F741" s="186">
        <v>5.59</v>
      </c>
      <c r="G741" s="186">
        <v>2.9679446509999998</v>
      </c>
    </row>
    <row r="742" spans="1:7" ht="14.4">
      <c r="A742" s="186">
        <v>741</v>
      </c>
      <c r="B742" s="186" t="s">
        <v>335</v>
      </c>
      <c r="C742" s="186" t="s">
        <v>977</v>
      </c>
      <c r="D742" s="186">
        <v>829.9</v>
      </c>
      <c r="E742" s="186">
        <v>5.93</v>
      </c>
      <c r="F742" s="186">
        <v>5.59</v>
      </c>
      <c r="G742" s="186">
        <v>2.9679446509999998</v>
      </c>
    </row>
    <row r="743" spans="1:7" ht="14.4">
      <c r="A743" s="186">
        <v>742</v>
      </c>
      <c r="B743" s="186" t="s">
        <v>271</v>
      </c>
      <c r="C743" s="186" t="s">
        <v>978</v>
      </c>
      <c r="D743" s="186">
        <v>158.1</v>
      </c>
      <c r="E743" s="186">
        <v>5.88</v>
      </c>
      <c r="F743" s="186">
        <v>5.6</v>
      </c>
      <c r="G743" s="186">
        <v>2.973571352</v>
      </c>
    </row>
    <row r="744" spans="1:7" ht="14.4">
      <c r="A744" s="186">
        <v>743</v>
      </c>
      <c r="B744" s="186" t="s">
        <v>124</v>
      </c>
      <c r="C744" s="186" t="s">
        <v>979</v>
      </c>
      <c r="D744" s="186">
        <v>162.69999999999999</v>
      </c>
      <c r="E744" s="186">
        <v>5.78</v>
      </c>
      <c r="F744" s="186">
        <v>5.6</v>
      </c>
      <c r="G744" s="186">
        <v>2.973571352</v>
      </c>
    </row>
    <row r="745" spans="1:7" ht="14.4">
      <c r="A745" s="186">
        <v>744</v>
      </c>
      <c r="B745" s="186" t="s">
        <v>175</v>
      </c>
      <c r="C745" s="186" t="s">
        <v>980</v>
      </c>
      <c r="D745" s="186">
        <v>9.6</v>
      </c>
      <c r="E745" s="186">
        <v>5.61</v>
      </c>
      <c r="F745" s="186">
        <v>5.6</v>
      </c>
      <c r="G745" s="186">
        <v>2.973571352</v>
      </c>
    </row>
    <row r="746" spans="1:7" ht="14.4">
      <c r="A746" s="186">
        <v>745</v>
      </c>
      <c r="B746" s="186" t="s">
        <v>122</v>
      </c>
      <c r="C746" s="186" t="s">
        <v>981</v>
      </c>
      <c r="D746" s="186">
        <v>48.6</v>
      </c>
      <c r="E746" s="186">
        <v>5.77</v>
      </c>
      <c r="F746" s="186">
        <v>5.6</v>
      </c>
      <c r="G746" s="186">
        <v>2.973571352</v>
      </c>
    </row>
    <row r="747" spans="1:7" ht="14.4">
      <c r="A747" s="186">
        <v>746</v>
      </c>
      <c r="B747" s="186" t="s">
        <v>146</v>
      </c>
      <c r="C747" s="186" t="s">
        <v>982</v>
      </c>
      <c r="D747" s="186">
        <v>141.6</v>
      </c>
      <c r="E747" s="186">
        <v>5.98</v>
      </c>
      <c r="F747" s="186">
        <v>5.6</v>
      </c>
      <c r="G747" s="186">
        <v>2.973571352</v>
      </c>
    </row>
    <row r="748" spans="1:7" ht="14.4">
      <c r="A748" s="186">
        <v>747</v>
      </c>
      <c r="B748" s="186" t="s">
        <v>983</v>
      </c>
      <c r="C748" s="186" t="s">
        <v>984</v>
      </c>
      <c r="D748" s="186">
        <v>75.7</v>
      </c>
      <c r="E748" s="186">
        <v>5.6</v>
      </c>
      <c r="F748" s="186">
        <v>5.6</v>
      </c>
      <c r="G748" s="186">
        <v>2.973571352</v>
      </c>
    </row>
    <row r="749" spans="1:7" ht="14.4">
      <c r="A749" s="186">
        <v>748</v>
      </c>
      <c r="B749" s="186" t="s">
        <v>985</v>
      </c>
      <c r="C749" s="186" t="s">
        <v>986</v>
      </c>
      <c r="D749" s="186">
        <v>24.6</v>
      </c>
      <c r="E749" s="186">
        <v>6</v>
      </c>
      <c r="F749" s="186">
        <v>5.61</v>
      </c>
      <c r="G749" s="186">
        <v>2.9792081850000001</v>
      </c>
    </row>
    <row r="750" spans="1:7" ht="14.4">
      <c r="A750" s="186">
        <v>749</v>
      </c>
      <c r="B750" s="186" t="s">
        <v>362</v>
      </c>
      <c r="C750" s="186" t="s">
        <v>987</v>
      </c>
      <c r="D750" s="186">
        <v>560.5</v>
      </c>
      <c r="E750" s="186">
        <v>5.33</v>
      </c>
      <c r="F750" s="186">
        <v>5.61</v>
      </c>
      <c r="G750" s="186">
        <v>2.9792081850000001</v>
      </c>
    </row>
    <row r="751" spans="1:7" ht="14.4">
      <c r="A751" s="186">
        <v>750</v>
      </c>
      <c r="B751" s="186" t="s">
        <v>158</v>
      </c>
      <c r="C751" s="186" t="s">
        <v>988</v>
      </c>
      <c r="D751" s="187">
        <v>3528.7</v>
      </c>
      <c r="E751" s="186">
        <v>5.6</v>
      </c>
      <c r="F751" s="186">
        <v>5.61</v>
      </c>
      <c r="G751" s="186">
        <v>2.9792081850000001</v>
      </c>
    </row>
    <row r="752" spans="1:7" ht="14.4">
      <c r="A752" s="186">
        <v>751</v>
      </c>
      <c r="B752" s="186" t="s">
        <v>488</v>
      </c>
      <c r="C752" s="186" t="s">
        <v>989</v>
      </c>
      <c r="D752" s="186">
        <v>69.2</v>
      </c>
      <c r="E752" s="186">
        <v>6.08</v>
      </c>
      <c r="F752" s="186">
        <v>5.61</v>
      </c>
      <c r="G752" s="186">
        <v>2.9792081850000001</v>
      </c>
    </row>
    <row r="753" spans="1:7" ht="14.4">
      <c r="A753" s="186">
        <v>752</v>
      </c>
      <c r="B753" s="186" t="s">
        <v>213</v>
      </c>
      <c r="C753" s="186" t="s">
        <v>990</v>
      </c>
      <c r="D753" s="186">
        <v>8.1</v>
      </c>
      <c r="E753" s="186">
        <v>5.95</v>
      </c>
      <c r="F753" s="186">
        <v>5.61</v>
      </c>
      <c r="G753" s="186">
        <v>2.9792081850000001</v>
      </c>
    </row>
    <row r="754" spans="1:7" ht="14.4">
      <c r="A754" s="186">
        <v>753</v>
      </c>
      <c r="B754" s="186" t="s">
        <v>213</v>
      </c>
      <c r="C754" s="186" t="s">
        <v>991</v>
      </c>
      <c r="D754" s="186">
        <v>16.7</v>
      </c>
      <c r="E754" s="186">
        <v>5.95</v>
      </c>
      <c r="F754" s="186">
        <v>5.61</v>
      </c>
      <c r="G754" s="186">
        <v>2.9792081850000001</v>
      </c>
    </row>
    <row r="755" spans="1:7" ht="14.4">
      <c r="A755" s="186">
        <v>754</v>
      </c>
      <c r="B755" s="186" t="s">
        <v>131</v>
      </c>
      <c r="C755" s="186" t="s">
        <v>992</v>
      </c>
      <c r="D755" s="186">
        <v>47.6</v>
      </c>
      <c r="E755" s="186">
        <v>5.68</v>
      </c>
      <c r="F755" s="186">
        <v>5.61</v>
      </c>
      <c r="G755" s="186">
        <v>2.9792081850000001</v>
      </c>
    </row>
    <row r="756" spans="1:7" ht="14.4">
      <c r="A756" s="186">
        <v>755</v>
      </c>
      <c r="B756" s="186" t="s">
        <v>263</v>
      </c>
      <c r="C756" s="186" t="s">
        <v>993</v>
      </c>
      <c r="D756" s="187">
        <v>1718.2</v>
      </c>
      <c r="E756" s="186">
        <v>5.61</v>
      </c>
      <c r="F756" s="186">
        <v>5.62</v>
      </c>
      <c r="G756" s="186">
        <v>2.9848551680000002</v>
      </c>
    </row>
    <row r="757" spans="1:7" ht="14.4">
      <c r="A757" s="186">
        <v>756</v>
      </c>
      <c r="B757" s="186" t="s">
        <v>263</v>
      </c>
      <c r="C757" s="186" t="s">
        <v>994</v>
      </c>
      <c r="D757" s="187">
        <v>1049</v>
      </c>
      <c r="E757" s="186">
        <v>5.33</v>
      </c>
      <c r="F757" s="186">
        <v>5.62</v>
      </c>
      <c r="G757" s="186">
        <v>2.9848551680000002</v>
      </c>
    </row>
    <row r="758" spans="1:7" ht="14.4">
      <c r="A758" s="186">
        <v>757</v>
      </c>
      <c r="B758" s="186" t="s">
        <v>245</v>
      </c>
      <c r="C758" s="186" t="s">
        <v>995</v>
      </c>
      <c r="D758" s="187">
        <v>1340.8</v>
      </c>
      <c r="E758" s="186">
        <v>5.77</v>
      </c>
      <c r="F758" s="186">
        <v>5.62</v>
      </c>
      <c r="G758" s="186">
        <v>2.9848551680000002</v>
      </c>
    </row>
    <row r="759" spans="1:7" ht="14.4">
      <c r="A759" s="186">
        <v>758</v>
      </c>
      <c r="B759" s="186" t="s">
        <v>241</v>
      </c>
      <c r="C759" s="186" t="s">
        <v>996</v>
      </c>
      <c r="D759" s="186">
        <v>39.799999999999997</v>
      </c>
      <c r="E759" s="186">
        <v>5.99</v>
      </c>
      <c r="F759" s="186">
        <v>5.63</v>
      </c>
      <c r="G759" s="186">
        <v>2.990512319</v>
      </c>
    </row>
    <row r="760" spans="1:7" ht="14.4">
      <c r="A760" s="186">
        <v>759</v>
      </c>
      <c r="B760" s="186" t="s">
        <v>241</v>
      </c>
      <c r="C760" s="186" t="s">
        <v>997</v>
      </c>
      <c r="D760" s="186">
        <v>43.1</v>
      </c>
      <c r="E760" s="186">
        <v>5.63</v>
      </c>
      <c r="F760" s="186">
        <v>5.63</v>
      </c>
      <c r="G760" s="186">
        <v>2.990512319</v>
      </c>
    </row>
    <row r="761" spans="1:7" ht="14.4">
      <c r="A761" s="186">
        <v>760</v>
      </c>
      <c r="B761" s="186" t="s">
        <v>335</v>
      </c>
      <c r="C761" s="186" t="s">
        <v>998</v>
      </c>
      <c r="D761" s="186">
        <v>545.20000000000005</v>
      </c>
      <c r="E761" s="186">
        <v>5.64</v>
      </c>
      <c r="F761" s="186">
        <v>5.63</v>
      </c>
      <c r="G761" s="186">
        <v>2.990512319</v>
      </c>
    </row>
    <row r="762" spans="1:7" ht="14.4">
      <c r="A762" s="186">
        <v>761</v>
      </c>
      <c r="B762" s="186" t="s">
        <v>742</v>
      </c>
      <c r="C762" s="186" t="s">
        <v>999</v>
      </c>
      <c r="D762" s="187">
        <v>1552.5</v>
      </c>
      <c r="E762" s="186">
        <v>5.6</v>
      </c>
      <c r="F762" s="186">
        <v>5.64</v>
      </c>
      <c r="G762" s="186">
        <v>2.9961796550000002</v>
      </c>
    </row>
    <row r="763" spans="1:7" ht="14.4">
      <c r="A763" s="186">
        <v>762</v>
      </c>
      <c r="B763" s="186" t="s">
        <v>571</v>
      </c>
      <c r="C763" s="186" t="s">
        <v>1000</v>
      </c>
      <c r="D763" s="186">
        <v>322.10000000000002</v>
      </c>
      <c r="E763" s="186">
        <v>5.96</v>
      </c>
      <c r="F763" s="186">
        <v>5.64</v>
      </c>
      <c r="G763" s="186">
        <v>2.9961796550000002</v>
      </c>
    </row>
    <row r="764" spans="1:7" ht="14.4">
      <c r="A764" s="186">
        <v>763</v>
      </c>
      <c r="B764" s="186" t="s">
        <v>1001</v>
      </c>
      <c r="C764" s="186" t="s">
        <v>1002</v>
      </c>
      <c r="D764" s="186">
        <v>63.8</v>
      </c>
      <c r="E764" s="186">
        <v>5.88</v>
      </c>
      <c r="F764" s="186">
        <v>5.64</v>
      </c>
      <c r="G764" s="186">
        <v>2.9961796550000002</v>
      </c>
    </row>
    <row r="765" spans="1:7" ht="14.4">
      <c r="A765" s="186">
        <v>764</v>
      </c>
      <c r="B765" s="186" t="s">
        <v>162</v>
      </c>
      <c r="C765" s="186" t="s">
        <v>1003</v>
      </c>
      <c r="D765" s="186">
        <v>6.6</v>
      </c>
      <c r="E765" s="186">
        <v>6.13</v>
      </c>
      <c r="F765" s="186">
        <v>5.64</v>
      </c>
      <c r="G765" s="186">
        <v>2.9961796550000002</v>
      </c>
    </row>
    <row r="766" spans="1:7" ht="14.4">
      <c r="A766" s="186">
        <v>765</v>
      </c>
      <c r="B766" s="186" t="s">
        <v>175</v>
      </c>
      <c r="C766" s="186" t="s">
        <v>1004</v>
      </c>
      <c r="D766" s="186">
        <v>3.4</v>
      </c>
      <c r="E766" s="186">
        <v>5.73</v>
      </c>
      <c r="F766" s="186">
        <v>5.64</v>
      </c>
      <c r="G766" s="186">
        <v>2.9961796550000002</v>
      </c>
    </row>
    <row r="767" spans="1:7" ht="14.4">
      <c r="A767" s="186">
        <v>766</v>
      </c>
      <c r="B767" s="186" t="s">
        <v>158</v>
      </c>
      <c r="C767" s="186" t="s">
        <v>1005</v>
      </c>
      <c r="D767" s="187">
        <v>1175.5</v>
      </c>
      <c r="E767" s="186">
        <v>5.62</v>
      </c>
      <c r="F767" s="186">
        <v>5.64</v>
      </c>
      <c r="G767" s="186">
        <v>2.9961796550000002</v>
      </c>
    </row>
    <row r="768" spans="1:7" ht="14.4">
      <c r="A768" s="186">
        <v>767</v>
      </c>
      <c r="B768" s="186" t="s">
        <v>148</v>
      </c>
      <c r="C768" s="186" t="s">
        <v>1006</v>
      </c>
      <c r="D768" s="186">
        <v>27.6</v>
      </c>
      <c r="E768" s="186">
        <v>5.39</v>
      </c>
      <c r="F768" s="186">
        <v>5.64</v>
      </c>
      <c r="G768" s="186">
        <v>2.9961796550000002</v>
      </c>
    </row>
    <row r="769" spans="1:7" ht="14.4">
      <c r="A769" s="186">
        <v>768</v>
      </c>
      <c r="B769" s="186" t="s">
        <v>801</v>
      </c>
      <c r="C769" s="186" t="s">
        <v>1007</v>
      </c>
      <c r="D769" s="186">
        <v>20.399999999999999</v>
      </c>
      <c r="E769" s="186">
        <v>5.94</v>
      </c>
      <c r="F769" s="186">
        <v>5.64</v>
      </c>
      <c r="G769" s="186">
        <v>2.9961796550000002</v>
      </c>
    </row>
    <row r="770" spans="1:7" ht="14.4">
      <c r="A770" s="186">
        <v>769</v>
      </c>
      <c r="B770" s="186" t="s">
        <v>1008</v>
      </c>
      <c r="C770" s="186" t="s">
        <v>1009</v>
      </c>
      <c r="D770" s="186">
        <v>25.4</v>
      </c>
      <c r="E770" s="186">
        <v>5.59</v>
      </c>
      <c r="F770" s="186">
        <v>5.65</v>
      </c>
      <c r="G770" s="186">
        <v>3.0018571930000002</v>
      </c>
    </row>
    <row r="771" spans="1:7" ht="14.4">
      <c r="A771" s="186">
        <v>770</v>
      </c>
      <c r="B771" s="186" t="s">
        <v>252</v>
      </c>
      <c r="C771" s="186" t="s">
        <v>1010</v>
      </c>
      <c r="D771" s="186">
        <v>2.1</v>
      </c>
      <c r="E771" s="186">
        <v>5.97</v>
      </c>
      <c r="F771" s="186">
        <v>5.65</v>
      </c>
      <c r="G771" s="186">
        <v>3.0018571930000002</v>
      </c>
    </row>
    <row r="772" spans="1:7" ht="14.4">
      <c r="A772" s="186">
        <v>771</v>
      </c>
      <c r="B772" s="186" t="s">
        <v>252</v>
      </c>
      <c r="C772" s="186" t="s">
        <v>1011</v>
      </c>
      <c r="D772" s="186">
        <v>163.5</v>
      </c>
      <c r="E772" s="186">
        <v>5.97</v>
      </c>
      <c r="F772" s="186">
        <v>5.65</v>
      </c>
      <c r="G772" s="186">
        <v>3.0018571930000002</v>
      </c>
    </row>
    <row r="773" spans="1:7" ht="14.4">
      <c r="A773" s="186">
        <v>772</v>
      </c>
      <c r="B773" s="186" t="s">
        <v>153</v>
      </c>
      <c r="C773" s="186" t="s">
        <v>1012</v>
      </c>
      <c r="D773" s="187">
        <v>1957</v>
      </c>
      <c r="E773" s="186">
        <v>5.62</v>
      </c>
      <c r="F773" s="186">
        <v>5.65</v>
      </c>
      <c r="G773" s="186">
        <v>3.0018571930000002</v>
      </c>
    </row>
    <row r="774" spans="1:7" ht="14.4">
      <c r="A774" s="186">
        <v>773</v>
      </c>
      <c r="B774" s="186" t="s">
        <v>146</v>
      </c>
      <c r="C774" s="186" t="s">
        <v>1013</v>
      </c>
      <c r="D774" s="186">
        <v>858.3</v>
      </c>
      <c r="E774" s="186">
        <v>5.29</v>
      </c>
      <c r="F774" s="186">
        <v>5.65</v>
      </c>
      <c r="G774" s="186">
        <v>3.0018571930000002</v>
      </c>
    </row>
    <row r="775" spans="1:7" ht="14.4">
      <c r="A775" s="186">
        <v>774</v>
      </c>
      <c r="B775" s="186" t="s">
        <v>1014</v>
      </c>
      <c r="C775" s="186" t="s">
        <v>1015</v>
      </c>
      <c r="D775" s="186">
        <v>215.8</v>
      </c>
      <c r="E775" s="186">
        <v>5.39</v>
      </c>
      <c r="F775" s="186">
        <v>5.65</v>
      </c>
      <c r="G775" s="186">
        <v>3.0018571930000002</v>
      </c>
    </row>
    <row r="776" spans="1:7" ht="14.4">
      <c r="A776" s="186">
        <v>775</v>
      </c>
      <c r="B776" s="186" t="s">
        <v>280</v>
      </c>
      <c r="C776" s="186" t="s">
        <v>1016</v>
      </c>
      <c r="D776" s="186">
        <v>32.299999999999997</v>
      </c>
      <c r="E776" s="186">
        <v>5.94</v>
      </c>
      <c r="F776" s="186">
        <v>5.65</v>
      </c>
      <c r="G776" s="186">
        <v>3.0018571930000002</v>
      </c>
    </row>
    <row r="777" spans="1:7" ht="14.4">
      <c r="A777" s="186">
        <v>776</v>
      </c>
      <c r="B777" s="186" t="s">
        <v>340</v>
      </c>
      <c r="C777" s="186" t="s">
        <v>1017</v>
      </c>
      <c r="D777" s="186">
        <v>22.1</v>
      </c>
      <c r="E777" s="186">
        <v>5.99</v>
      </c>
      <c r="F777" s="186">
        <v>5.65</v>
      </c>
      <c r="G777" s="186">
        <v>3.0018571930000002</v>
      </c>
    </row>
    <row r="778" spans="1:7" ht="14.4">
      <c r="A778" s="186">
        <v>777</v>
      </c>
      <c r="B778" s="186" t="s">
        <v>271</v>
      </c>
      <c r="C778" s="186" t="s">
        <v>1018</v>
      </c>
      <c r="D778" s="186">
        <v>20</v>
      </c>
      <c r="E778" s="186">
        <v>6.03</v>
      </c>
      <c r="F778" s="186">
        <v>5.66</v>
      </c>
      <c r="G778" s="186">
        <v>3.0075449509999999</v>
      </c>
    </row>
    <row r="779" spans="1:7" ht="14.4">
      <c r="A779" s="186">
        <v>778</v>
      </c>
      <c r="B779" s="186" t="s">
        <v>1019</v>
      </c>
      <c r="C779" s="186" t="s">
        <v>1020</v>
      </c>
      <c r="D779" s="186">
        <v>135.30000000000001</v>
      </c>
      <c r="E779" s="186">
        <v>5.84</v>
      </c>
      <c r="F779" s="186">
        <v>5.66</v>
      </c>
      <c r="G779" s="186">
        <v>3.0075449509999999</v>
      </c>
    </row>
    <row r="780" spans="1:7" ht="14.4">
      <c r="A780" s="186">
        <v>779</v>
      </c>
      <c r="B780" s="186" t="s">
        <v>153</v>
      </c>
      <c r="C780" s="186" t="s">
        <v>1021</v>
      </c>
      <c r="D780" s="187">
        <v>13746.2</v>
      </c>
      <c r="E780" s="186">
        <v>5.93</v>
      </c>
      <c r="F780" s="186">
        <v>5.66</v>
      </c>
      <c r="G780" s="186">
        <v>3.0075449509999999</v>
      </c>
    </row>
    <row r="781" spans="1:7" ht="14.4">
      <c r="A781" s="186">
        <v>780</v>
      </c>
      <c r="B781" s="186" t="s">
        <v>983</v>
      </c>
      <c r="C781" s="186" t="s">
        <v>1022</v>
      </c>
      <c r="D781" s="186">
        <v>385.7</v>
      </c>
      <c r="E781" s="186">
        <v>5.66</v>
      </c>
      <c r="F781" s="186">
        <v>5.66</v>
      </c>
      <c r="G781" s="186">
        <v>3.0075449509999999</v>
      </c>
    </row>
    <row r="782" spans="1:7" ht="14.4">
      <c r="A782" s="186">
        <v>781</v>
      </c>
      <c r="B782" s="186" t="s">
        <v>184</v>
      </c>
      <c r="C782" s="186" t="s">
        <v>1023</v>
      </c>
      <c r="D782" s="187">
        <v>7396.4</v>
      </c>
      <c r="E782" s="186">
        <v>5.52</v>
      </c>
      <c r="F782" s="186">
        <v>5.66</v>
      </c>
      <c r="G782" s="186">
        <v>3.0075449509999999</v>
      </c>
    </row>
    <row r="783" spans="1:7" ht="14.4">
      <c r="A783" s="186">
        <v>782</v>
      </c>
      <c r="B783" s="186" t="s">
        <v>317</v>
      </c>
      <c r="C783" s="186" t="s">
        <v>1024</v>
      </c>
      <c r="D783" s="186">
        <v>19.7</v>
      </c>
      <c r="E783" s="186">
        <v>5.95</v>
      </c>
      <c r="F783" s="186">
        <v>5.66</v>
      </c>
      <c r="G783" s="186">
        <v>3.0075449509999999</v>
      </c>
    </row>
    <row r="784" spans="1:7" ht="14.4">
      <c r="A784" s="186">
        <v>783</v>
      </c>
      <c r="B784" s="186" t="s">
        <v>317</v>
      </c>
      <c r="C784" s="186" t="s">
        <v>1025</v>
      </c>
      <c r="D784" s="186">
        <v>258.89999999999998</v>
      </c>
      <c r="E784" s="186">
        <v>5.82</v>
      </c>
      <c r="F784" s="186">
        <v>5.66</v>
      </c>
      <c r="G784" s="186">
        <v>3.0075449509999999</v>
      </c>
    </row>
    <row r="785" spans="1:7" ht="14.4">
      <c r="A785" s="186">
        <v>784</v>
      </c>
      <c r="B785" s="186" t="s">
        <v>124</v>
      </c>
      <c r="C785" s="186" t="s">
        <v>1026</v>
      </c>
      <c r="D785" s="186">
        <v>13</v>
      </c>
      <c r="E785" s="186">
        <v>6.11</v>
      </c>
      <c r="F785" s="186">
        <v>5.67</v>
      </c>
      <c r="G785" s="186">
        <v>3.013242945</v>
      </c>
    </row>
    <row r="786" spans="1:7" ht="14.4">
      <c r="A786" s="186">
        <v>785</v>
      </c>
      <c r="B786" s="186" t="s">
        <v>162</v>
      </c>
      <c r="C786" s="186" t="s">
        <v>1027</v>
      </c>
      <c r="D786" s="186">
        <v>258.2</v>
      </c>
      <c r="E786" s="186">
        <v>5.64</v>
      </c>
      <c r="F786" s="186">
        <v>5.67</v>
      </c>
      <c r="G786" s="186">
        <v>3.013242945</v>
      </c>
    </row>
    <row r="787" spans="1:7" ht="14.4">
      <c r="A787" s="186">
        <v>786</v>
      </c>
      <c r="B787" s="186" t="s">
        <v>184</v>
      </c>
      <c r="C787" s="186" t="s">
        <v>1028</v>
      </c>
      <c r="D787" s="187">
        <v>2492.6</v>
      </c>
      <c r="E787" s="186">
        <v>5.28</v>
      </c>
      <c r="F787" s="186">
        <v>5.67</v>
      </c>
      <c r="G787" s="186">
        <v>3.013242945</v>
      </c>
    </row>
    <row r="788" spans="1:7" ht="14.4">
      <c r="A788" s="186">
        <v>787</v>
      </c>
      <c r="B788" s="186" t="s">
        <v>178</v>
      </c>
      <c r="C788" s="186" t="s">
        <v>1029</v>
      </c>
      <c r="D788" s="186">
        <v>0.4</v>
      </c>
      <c r="E788" s="186">
        <v>5.79</v>
      </c>
      <c r="F788" s="186">
        <v>5.68</v>
      </c>
      <c r="G788" s="186">
        <v>3.0189511950000001</v>
      </c>
    </row>
    <row r="789" spans="1:7" ht="14.4">
      <c r="A789" s="186">
        <v>788</v>
      </c>
      <c r="B789" s="186" t="s">
        <v>834</v>
      </c>
      <c r="C789" s="186" t="s">
        <v>1030</v>
      </c>
      <c r="D789" s="186">
        <v>8.5</v>
      </c>
      <c r="E789" s="186">
        <v>6</v>
      </c>
      <c r="F789" s="186">
        <v>5.68</v>
      </c>
      <c r="G789" s="186">
        <v>3.0189511950000001</v>
      </c>
    </row>
    <row r="790" spans="1:7" ht="14.4">
      <c r="A790" s="186">
        <v>789</v>
      </c>
      <c r="B790" s="186" t="s">
        <v>319</v>
      </c>
      <c r="C790" s="186" t="s">
        <v>1031</v>
      </c>
      <c r="D790" s="186">
        <v>4.7</v>
      </c>
      <c r="E790" s="186">
        <v>6.1</v>
      </c>
      <c r="F790" s="186">
        <v>5.68</v>
      </c>
      <c r="G790" s="186">
        <v>3.0189511950000001</v>
      </c>
    </row>
    <row r="791" spans="1:7" ht="14.4">
      <c r="A791" s="186">
        <v>790</v>
      </c>
      <c r="B791" s="186" t="s">
        <v>1032</v>
      </c>
      <c r="C791" s="186" t="s">
        <v>1033</v>
      </c>
      <c r="D791" s="186">
        <v>50</v>
      </c>
      <c r="E791" s="186">
        <v>5.68</v>
      </c>
      <c r="F791" s="186">
        <v>5.69</v>
      </c>
      <c r="G791" s="186">
        <v>3.024669716</v>
      </c>
    </row>
    <row r="792" spans="1:7" ht="14.4">
      <c r="A792" s="186">
        <v>791</v>
      </c>
      <c r="B792" s="186" t="s">
        <v>303</v>
      </c>
      <c r="C792" s="186" t="s">
        <v>1034</v>
      </c>
      <c r="D792" s="186">
        <v>152.1</v>
      </c>
      <c r="E792" s="186">
        <v>5.22</v>
      </c>
      <c r="F792" s="186">
        <v>5.69</v>
      </c>
      <c r="G792" s="186">
        <v>3.024669716</v>
      </c>
    </row>
    <row r="793" spans="1:7" ht="14.4">
      <c r="A793" s="186">
        <v>792</v>
      </c>
      <c r="B793" s="186" t="s">
        <v>148</v>
      </c>
      <c r="C793" s="186" t="s">
        <v>1035</v>
      </c>
      <c r="D793" s="186">
        <v>469.6</v>
      </c>
      <c r="E793" s="186">
        <v>5.93</v>
      </c>
      <c r="F793" s="186">
        <v>5.69</v>
      </c>
      <c r="G793" s="186">
        <v>3.024669716</v>
      </c>
    </row>
    <row r="794" spans="1:7" ht="14.4">
      <c r="A794" s="186">
        <v>793</v>
      </c>
      <c r="B794" s="186" t="s">
        <v>213</v>
      </c>
      <c r="C794" s="186" t="s">
        <v>1036</v>
      </c>
      <c r="D794" s="187">
        <v>3712.7</v>
      </c>
      <c r="E794" s="186">
        <v>5.65</v>
      </c>
      <c r="F794" s="186">
        <v>5.69</v>
      </c>
      <c r="G794" s="186">
        <v>3.024669716</v>
      </c>
    </row>
    <row r="795" spans="1:7" ht="14.4">
      <c r="A795" s="186">
        <v>794</v>
      </c>
      <c r="B795" s="186" t="s">
        <v>194</v>
      </c>
      <c r="C795" s="186" t="s">
        <v>1037</v>
      </c>
      <c r="D795" s="186">
        <v>11.4</v>
      </c>
      <c r="E795" s="186">
        <v>5.68</v>
      </c>
      <c r="F795" s="186">
        <v>5.7</v>
      </c>
      <c r="G795" s="186">
        <v>3.0303985259999999</v>
      </c>
    </row>
    <row r="796" spans="1:7" ht="14.4">
      <c r="A796" s="186">
        <v>795</v>
      </c>
      <c r="B796" s="186" t="s">
        <v>451</v>
      </c>
      <c r="C796" s="186" t="s">
        <v>1038</v>
      </c>
      <c r="D796" s="186">
        <v>331.6</v>
      </c>
      <c r="E796" s="186">
        <v>5.8</v>
      </c>
      <c r="F796" s="186">
        <v>5.7</v>
      </c>
      <c r="G796" s="186">
        <v>3.0303985259999999</v>
      </c>
    </row>
    <row r="797" spans="1:7" ht="14.4">
      <c r="A797" s="186">
        <v>796</v>
      </c>
      <c r="B797" s="186" t="s">
        <v>571</v>
      </c>
      <c r="C797" s="186" t="s">
        <v>1039</v>
      </c>
      <c r="D797" s="186">
        <v>36.799999999999997</v>
      </c>
      <c r="E797" s="186">
        <v>6.07</v>
      </c>
      <c r="F797" s="186">
        <v>5.71</v>
      </c>
      <c r="G797" s="186">
        <v>3.0361376440000001</v>
      </c>
    </row>
    <row r="798" spans="1:7" ht="14.4">
      <c r="A798" s="186">
        <v>797</v>
      </c>
      <c r="B798" s="186" t="s">
        <v>271</v>
      </c>
      <c r="C798" s="944" t="s">
        <v>1040</v>
      </c>
      <c r="D798" s="186">
        <v>42.6</v>
      </c>
      <c r="E798" s="186">
        <v>6.01</v>
      </c>
      <c r="F798" s="186">
        <v>5.71</v>
      </c>
      <c r="G798" s="186">
        <v>3.0361376440000001</v>
      </c>
    </row>
    <row r="799" spans="1:7" ht="14.4">
      <c r="A799" s="186">
        <v>798</v>
      </c>
      <c r="B799" s="186" t="s">
        <v>286</v>
      </c>
      <c r="C799" s="186" t="s">
        <v>1041</v>
      </c>
      <c r="D799" s="186">
        <v>8.6999999999999993</v>
      </c>
      <c r="E799" s="186">
        <v>5.67</v>
      </c>
      <c r="F799" s="186">
        <v>5.71</v>
      </c>
      <c r="G799" s="186">
        <v>3.0361376440000001</v>
      </c>
    </row>
    <row r="800" spans="1:7" ht="14.4">
      <c r="A800" s="186">
        <v>799</v>
      </c>
      <c r="B800" s="186" t="s">
        <v>153</v>
      </c>
      <c r="C800" s="186" t="s">
        <v>1042</v>
      </c>
      <c r="D800" s="186">
        <v>119.2</v>
      </c>
      <c r="E800" s="186">
        <v>5.83</v>
      </c>
      <c r="F800" s="186">
        <v>5.71</v>
      </c>
      <c r="G800" s="186">
        <v>3.0361376440000001</v>
      </c>
    </row>
    <row r="801" spans="1:7" ht="14.4">
      <c r="A801" s="186">
        <v>800</v>
      </c>
      <c r="B801" s="186" t="s">
        <v>373</v>
      </c>
      <c r="C801" s="186" t="s">
        <v>1043</v>
      </c>
      <c r="D801" s="186">
        <v>52.5</v>
      </c>
      <c r="E801" s="186">
        <v>6.07</v>
      </c>
      <c r="F801" s="186">
        <v>5.71</v>
      </c>
      <c r="G801" s="186">
        <v>3.0361376440000001</v>
      </c>
    </row>
    <row r="802" spans="1:7" ht="14.4">
      <c r="A802" s="186">
        <v>801</v>
      </c>
      <c r="B802" s="186" t="s">
        <v>352</v>
      </c>
      <c r="C802" s="186" t="s">
        <v>1044</v>
      </c>
      <c r="D802" s="186">
        <v>26.1</v>
      </c>
      <c r="E802" s="186">
        <v>6</v>
      </c>
      <c r="F802" s="186">
        <v>5.71</v>
      </c>
      <c r="G802" s="186">
        <v>3.0361376440000001</v>
      </c>
    </row>
    <row r="803" spans="1:7" ht="14.4">
      <c r="A803" s="186">
        <v>802</v>
      </c>
      <c r="B803" s="186" t="s">
        <v>153</v>
      </c>
      <c r="C803" s="186" t="s">
        <v>1045</v>
      </c>
      <c r="D803" s="187">
        <v>1895</v>
      </c>
      <c r="E803" s="186">
        <v>5.99</v>
      </c>
      <c r="F803" s="186">
        <v>5.72</v>
      </c>
      <c r="G803" s="186">
        <v>3.041887086</v>
      </c>
    </row>
    <row r="804" spans="1:7" ht="14.4">
      <c r="A804" s="186">
        <v>803</v>
      </c>
      <c r="B804" s="186" t="s">
        <v>477</v>
      </c>
      <c r="C804" s="186" t="s">
        <v>1046</v>
      </c>
      <c r="D804" s="186">
        <v>332.7</v>
      </c>
      <c r="E804" s="186">
        <v>6.06</v>
      </c>
      <c r="F804" s="186">
        <v>5.72</v>
      </c>
      <c r="G804" s="186">
        <v>3.041887086</v>
      </c>
    </row>
    <row r="805" spans="1:7" ht="14.4">
      <c r="A805" s="186">
        <v>804</v>
      </c>
      <c r="B805" s="186" t="s">
        <v>415</v>
      </c>
      <c r="C805" s="186" t="s">
        <v>1047</v>
      </c>
      <c r="D805" s="186">
        <v>13.3</v>
      </c>
      <c r="E805" s="186">
        <v>5.91</v>
      </c>
      <c r="F805" s="186">
        <v>5.72</v>
      </c>
      <c r="G805" s="186">
        <v>3.041887086</v>
      </c>
    </row>
    <row r="806" spans="1:7" ht="14.4">
      <c r="A806" s="186">
        <v>805</v>
      </c>
      <c r="B806" s="186" t="s">
        <v>834</v>
      </c>
      <c r="C806" s="186" t="s">
        <v>1048</v>
      </c>
      <c r="D806" s="186">
        <v>10.199999999999999</v>
      </c>
      <c r="E806" s="186">
        <v>6.04</v>
      </c>
      <c r="F806" s="186">
        <v>5.72</v>
      </c>
      <c r="G806" s="186">
        <v>3.041887086</v>
      </c>
    </row>
    <row r="807" spans="1:7" ht="14.4">
      <c r="A807" s="186">
        <v>806</v>
      </c>
      <c r="B807" s="186" t="s">
        <v>565</v>
      </c>
      <c r="C807" s="186" t="s">
        <v>1049</v>
      </c>
      <c r="D807" s="186">
        <v>58.6</v>
      </c>
      <c r="E807" s="186">
        <v>6</v>
      </c>
      <c r="F807" s="186">
        <v>5.72</v>
      </c>
      <c r="G807" s="186">
        <v>3.041887086</v>
      </c>
    </row>
    <row r="808" spans="1:7" ht="14.4">
      <c r="A808" s="186">
        <v>807</v>
      </c>
      <c r="B808" s="186" t="s">
        <v>1050</v>
      </c>
      <c r="C808" s="186" t="s">
        <v>1051</v>
      </c>
      <c r="D808" s="186">
        <v>63.2</v>
      </c>
      <c r="E808" s="186">
        <v>6.01</v>
      </c>
      <c r="F808" s="186">
        <v>5.72</v>
      </c>
      <c r="G808" s="186">
        <v>3.041887086</v>
      </c>
    </row>
    <row r="809" spans="1:7" ht="14.4">
      <c r="A809" s="186">
        <v>808</v>
      </c>
      <c r="B809" s="186" t="s">
        <v>263</v>
      </c>
      <c r="C809" s="186" t="s">
        <v>1052</v>
      </c>
      <c r="D809" s="186">
        <v>22.2</v>
      </c>
      <c r="E809" s="186">
        <v>5.74</v>
      </c>
      <c r="F809" s="186">
        <v>5.73</v>
      </c>
      <c r="G809" s="186">
        <v>3.047646871</v>
      </c>
    </row>
    <row r="810" spans="1:7" ht="14.4">
      <c r="A810" s="186">
        <v>809</v>
      </c>
      <c r="B810" s="186" t="s">
        <v>477</v>
      </c>
      <c r="C810" s="186" t="s">
        <v>1053</v>
      </c>
      <c r="D810" s="186">
        <v>8.8000000000000007</v>
      </c>
      <c r="E810" s="186">
        <v>6.06</v>
      </c>
      <c r="F810" s="186">
        <v>5.73</v>
      </c>
      <c r="G810" s="186">
        <v>3.047646871</v>
      </c>
    </row>
    <row r="811" spans="1:7" ht="14.4">
      <c r="A811" s="186">
        <v>810</v>
      </c>
      <c r="B811" s="186" t="s">
        <v>415</v>
      </c>
      <c r="C811" s="186" t="s">
        <v>1054</v>
      </c>
      <c r="D811" s="186">
        <v>5</v>
      </c>
      <c r="E811" s="186">
        <v>5.91</v>
      </c>
      <c r="F811" s="186">
        <v>5.73</v>
      </c>
      <c r="G811" s="186">
        <v>3.047646871</v>
      </c>
    </row>
    <row r="812" spans="1:7" ht="14.4">
      <c r="A812" s="186">
        <v>811</v>
      </c>
      <c r="B812" s="186" t="s">
        <v>348</v>
      </c>
      <c r="C812" s="186" t="s">
        <v>1055</v>
      </c>
      <c r="D812" s="186">
        <v>990.2</v>
      </c>
      <c r="E812" s="186">
        <v>5.77</v>
      </c>
      <c r="F812" s="186">
        <v>5.73</v>
      </c>
      <c r="G812" s="186">
        <v>3.047646871</v>
      </c>
    </row>
    <row r="813" spans="1:7" ht="14.4">
      <c r="A813" s="186">
        <v>812</v>
      </c>
      <c r="B813" s="186" t="s">
        <v>178</v>
      </c>
      <c r="C813" s="186" t="s">
        <v>1056</v>
      </c>
      <c r="D813" s="186">
        <v>0.1</v>
      </c>
      <c r="E813" s="186">
        <v>6.03</v>
      </c>
      <c r="F813" s="186">
        <v>5.74</v>
      </c>
      <c r="G813" s="186">
        <v>3.053417015</v>
      </c>
    </row>
    <row r="814" spans="1:7" ht="14.4">
      <c r="A814" s="186">
        <v>813</v>
      </c>
      <c r="B814" s="186" t="s">
        <v>1057</v>
      </c>
      <c r="C814" s="186" t="s">
        <v>1058</v>
      </c>
      <c r="D814" s="186">
        <v>207.1</v>
      </c>
      <c r="E814" s="186">
        <v>6.06</v>
      </c>
      <c r="F814" s="186">
        <v>5.74</v>
      </c>
      <c r="G814" s="186">
        <v>3.053417015</v>
      </c>
    </row>
    <row r="815" spans="1:7" ht="14.4">
      <c r="A815" s="186">
        <v>814</v>
      </c>
      <c r="B815" s="186" t="s">
        <v>553</v>
      </c>
      <c r="C815" s="186" t="s">
        <v>1059</v>
      </c>
      <c r="D815" s="186">
        <v>592.4</v>
      </c>
      <c r="E815" s="186">
        <v>5.8</v>
      </c>
      <c r="F815" s="186">
        <v>5.74</v>
      </c>
      <c r="G815" s="186">
        <v>3.053417015</v>
      </c>
    </row>
    <row r="816" spans="1:7" ht="14.4">
      <c r="A816" s="186">
        <v>815</v>
      </c>
      <c r="B816" s="186" t="s">
        <v>335</v>
      </c>
      <c r="C816" s="186" t="s">
        <v>1060</v>
      </c>
      <c r="D816" s="186">
        <v>8.6</v>
      </c>
      <c r="E816" s="186">
        <v>5.89</v>
      </c>
      <c r="F816" s="186">
        <v>5.74</v>
      </c>
      <c r="G816" s="186">
        <v>3.053417015</v>
      </c>
    </row>
    <row r="817" spans="1:7" ht="14.4">
      <c r="A817" s="186">
        <v>816</v>
      </c>
      <c r="B817" s="186" t="s">
        <v>118</v>
      </c>
      <c r="C817" s="186" t="s">
        <v>1061</v>
      </c>
      <c r="D817" s="186">
        <v>96.2</v>
      </c>
      <c r="E817" s="186">
        <v>6.04</v>
      </c>
      <c r="F817" s="186">
        <v>5.74</v>
      </c>
      <c r="G817" s="186">
        <v>3.053417015</v>
      </c>
    </row>
    <row r="818" spans="1:7" ht="14.4">
      <c r="A818" s="186">
        <v>817</v>
      </c>
      <c r="B818" s="186" t="s">
        <v>178</v>
      </c>
      <c r="C818" s="186" t="s">
        <v>1062</v>
      </c>
      <c r="D818" s="186">
        <v>101.4</v>
      </c>
      <c r="E818" s="186">
        <v>6.04</v>
      </c>
      <c r="F818" s="186">
        <v>5.75</v>
      </c>
      <c r="G818" s="186">
        <v>3.0591975370000002</v>
      </c>
    </row>
    <row r="819" spans="1:7" ht="14.4">
      <c r="A819" s="186">
        <v>818</v>
      </c>
      <c r="B819" s="186" t="s">
        <v>178</v>
      </c>
      <c r="C819" s="186" t="s">
        <v>1063</v>
      </c>
      <c r="D819" s="186">
        <v>0.1</v>
      </c>
      <c r="E819" s="186">
        <v>6.04</v>
      </c>
      <c r="F819" s="186">
        <v>5.75</v>
      </c>
      <c r="G819" s="186">
        <v>3.0591975370000002</v>
      </c>
    </row>
    <row r="820" spans="1:7" ht="14.4">
      <c r="A820" s="186">
        <v>819</v>
      </c>
      <c r="B820" s="186" t="s">
        <v>110</v>
      </c>
      <c r="C820" s="186" t="s">
        <v>1064</v>
      </c>
      <c r="D820" s="186">
        <v>22.4</v>
      </c>
      <c r="E820" s="186">
        <v>5.56</v>
      </c>
      <c r="F820" s="186">
        <v>5.75</v>
      </c>
      <c r="G820" s="186">
        <v>3.0591975370000002</v>
      </c>
    </row>
    <row r="821" spans="1:7" ht="14.4">
      <c r="A821" s="186">
        <v>820</v>
      </c>
      <c r="B821" s="186" t="s">
        <v>335</v>
      </c>
      <c r="C821" s="186" t="s">
        <v>1065</v>
      </c>
      <c r="D821" s="186">
        <v>138</v>
      </c>
      <c r="E821" s="186">
        <v>5.9</v>
      </c>
      <c r="F821" s="186">
        <v>5.75</v>
      </c>
      <c r="G821" s="186">
        <v>3.0591975370000002</v>
      </c>
    </row>
    <row r="822" spans="1:7" ht="14.4">
      <c r="A822" s="186">
        <v>821</v>
      </c>
      <c r="B822" s="186" t="s">
        <v>335</v>
      </c>
      <c r="C822" s="186" t="s">
        <v>1066</v>
      </c>
      <c r="D822" s="187">
        <v>1323.3</v>
      </c>
      <c r="E822" s="186">
        <v>6.07</v>
      </c>
      <c r="F822" s="186">
        <v>5.75</v>
      </c>
      <c r="G822" s="186">
        <v>3.0591975370000002</v>
      </c>
    </row>
    <row r="823" spans="1:7" ht="14.4">
      <c r="A823" s="186">
        <v>822</v>
      </c>
      <c r="B823" s="186" t="s">
        <v>138</v>
      </c>
      <c r="C823" s="186" t="s">
        <v>1067</v>
      </c>
      <c r="D823" s="186">
        <v>11.5</v>
      </c>
      <c r="E823" s="186">
        <v>6.16</v>
      </c>
      <c r="F823" s="186">
        <v>5.76</v>
      </c>
      <c r="G823" s="186">
        <v>3.0649884539999999</v>
      </c>
    </row>
    <row r="824" spans="1:7" ht="14.4">
      <c r="A824" s="186">
        <v>823</v>
      </c>
      <c r="B824" s="186" t="s">
        <v>178</v>
      </c>
      <c r="C824" s="186" t="s">
        <v>1068</v>
      </c>
      <c r="D824" s="186">
        <v>67</v>
      </c>
      <c r="E824" s="186">
        <v>5.95</v>
      </c>
      <c r="F824" s="186">
        <v>5.76</v>
      </c>
      <c r="G824" s="186">
        <v>3.0649884539999999</v>
      </c>
    </row>
    <row r="825" spans="1:7" ht="14.4">
      <c r="A825" s="186">
        <v>824</v>
      </c>
      <c r="B825" s="186" t="s">
        <v>175</v>
      </c>
      <c r="C825" s="186" t="s">
        <v>1069</v>
      </c>
      <c r="D825" s="186">
        <v>185.9</v>
      </c>
      <c r="E825" s="186">
        <v>5.97</v>
      </c>
      <c r="F825" s="186">
        <v>5.76</v>
      </c>
      <c r="G825" s="186">
        <v>3.0649884539999999</v>
      </c>
    </row>
    <row r="826" spans="1:7" ht="14.4">
      <c r="A826" s="186">
        <v>825</v>
      </c>
      <c r="B826" s="186" t="s">
        <v>536</v>
      </c>
      <c r="C826" s="186" t="s">
        <v>1070</v>
      </c>
      <c r="D826" s="187">
        <v>1481.6</v>
      </c>
      <c r="E826" s="186">
        <v>5.76</v>
      </c>
      <c r="F826" s="186">
        <v>5.76</v>
      </c>
      <c r="G826" s="186">
        <v>3.0649884539999999</v>
      </c>
    </row>
    <row r="827" spans="1:7" ht="14.4">
      <c r="A827" s="186">
        <v>826</v>
      </c>
      <c r="B827" s="186" t="s">
        <v>263</v>
      </c>
      <c r="C827" s="186" t="s">
        <v>1071</v>
      </c>
      <c r="D827" s="186">
        <v>101.8</v>
      </c>
      <c r="E827" s="186">
        <v>5.81</v>
      </c>
      <c r="F827" s="186">
        <v>5.76</v>
      </c>
      <c r="G827" s="186">
        <v>3.0649884539999999</v>
      </c>
    </row>
    <row r="828" spans="1:7" ht="14.4">
      <c r="A828" s="186">
        <v>827</v>
      </c>
      <c r="B828" s="186" t="s">
        <v>146</v>
      </c>
      <c r="C828" s="186" t="s">
        <v>1072</v>
      </c>
      <c r="D828" s="186">
        <v>237.4</v>
      </c>
      <c r="E828" s="186">
        <v>5.7</v>
      </c>
      <c r="F828" s="186">
        <v>5.76</v>
      </c>
      <c r="G828" s="186">
        <v>3.0649884539999999</v>
      </c>
    </row>
    <row r="829" spans="1:7" ht="14.4">
      <c r="A829" s="186">
        <v>828</v>
      </c>
      <c r="B829" s="186" t="s">
        <v>187</v>
      </c>
      <c r="C829" s="186" t="s">
        <v>1073</v>
      </c>
      <c r="D829" s="186">
        <v>651</v>
      </c>
      <c r="E829" s="186">
        <v>6.18</v>
      </c>
      <c r="F829" s="186">
        <v>5.76</v>
      </c>
      <c r="G829" s="186">
        <v>3.0649884539999999</v>
      </c>
    </row>
    <row r="830" spans="1:7" ht="14.4">
      <c r="A830" s="186">
        <v>829</v>
      </c>
      <c r="B830" s="186" t="s">
        <v>184</v>
      </c>
      <c r="C830" s="186" t="s">
        <v>1074</v>
      </c>
      <c r="D830" s="187">
        <v>1710.6</v>
      </c>
      <c r="E830" s="186">
        <v>5.57</v>
      </c>
      <c r="F830" s="186">
        <v>5.76</v>
      </c>
      <c r="G830" s="186">
        <v>3.0649884539999999</v>
      </c>
    </row>
    <row r="831" spans="1:7" ht="14.4">
      <c r="A831" s="186">
        <v>830</v>
      </c>
      <c r="B831" s="186" t="s">
        <v>280</v>
      </c>
      <c r="C831" s="186" t="s">
        <v>1075</v>
      </c>
      <c r="D831" s="186">
        <v>7.2</v>
      </c>
      <c r="E831" s="186">
        <v>5.96</v>
      </c>
      <c r="F831" s="186">
        <v>5.76</v>
      </c>
      <c r="G831" s="186">
        <v>3.0649884539999999</v>
      </c>
    </row>
    <row r="832" spans="1:7" ht="14.4">
      <c r="A832" s="186">
        <v>831</v>
      </c>
      <c r="B832" s="186" t="s">
        <v>317</v>
      </c>
      <c r="C832" s="186" t="s">
        <v>1076</v>
      </c>
      <c r="D832" s="186">
        <v>2.2000000000000002</v>
      </c>
      <c r="E832" s="186">
        <v>6.08</v>
      </c>
      <c r="F832" s="186">
        <v>5.76</v>
      </c>
      <c r="G832" s="186">
        <v>3.0649884539999999</v>
      </c>
    </row>
    <row r="833" spans="1:7" ht="14.4">
      <c r="A833" s="186">
        <v>832</v>
      </c>
      <c r="B833" s="186" t="s">
        <v>767</v>
      </c>
      <c r="C833" s="186" t="s">
        <v>1077</v>
      </c>
      <c r="D833" s="186">
        <v>31.1</v>
      </c>
      <c r="E833" s="186">
        <v>6.06</v>
      </c>
      <c r="F833" s="186">
        <v>5.76</v>
      </c>
      <c r="G833" s="186">
        <v>3.0649884539999999</v>
      </c>
    </row>
    <row r="834" spans="1:7" ht="14.4">
      <c r="A834" s="186">
        <v>833</v>
      </c>
      <c r="B834" s="186" t="s">
        <v>362</v>
      </c>
      <c r="C834" s="186" t="s">
        <v>1078</v>
      </c>
      <c r="D834" s="186">
        <v>533.70000000000005</v>
      </c>
      <c r="E834" s="186">
        <v>5.75</v>
      </c>
      <c r="F834" s="186">
        <v>5.77</v>
      </c>
      <c r="G834" s="186">
        <v>3.070789784</v>
      </c>
    </row>
    <row r="835" spans="1:7" ht="14.4">
      <c r="A835" s="186">
        <v>834</v>
      </c>
      <c r="B835" s="186" t="s">
        <v>146</v>
      </c>
      <c r="C835" s="186" t="s">
        <v>1079</v>
      </c>
      <c r="D835" s="187">
        <v>1657.2</v>
      </c>
      <c r="E835" s="186">
        <v>5.7</v>
      </c>
      <c r="F835" s="186">
        <v>5.77</v>
      </c>
      <c r="G835" s="186">
        <v>3.070789784</v>
      </c>
    </row>
    <row r="836" spans="1:7" ht="14.4">
      <c r="A836" s="186">
        <v>835</v>
      </c>
      <c r="B836" s="186" t="s">
        <v>1080</v>
      </c>
      <c r="C836" s="186" t="s">
        <v>1081</v>
      </c>
      <c r="D836" s="186">
        <v>577.29999999999995</v>
      </c>
      <c r="E836" s="186">
        <v>5.7</v>
      </c>
      <c r="F836" s="186">
        <v>5.77</v>
      </c>
      <c r="G836" s="186">
        <v>3.070789784</v>
      </c>
    </row>
    <row r="837" spans="1:7" ht="14.4">
      <c r="A837" s="186">
        <v>836</v>
      </c>
      <c r="B837" s="186" t="s">
        <v>335</v>
      </c>
      <c r="C837" s="186" t="s">
        <v>1082</v>
      </c>
      <c r="D837" s="186">
        <v>571.1</v>
      </c>
      <c r="E837" s="186">
        <v>5.31</v>
      </c>
      <c r="F837" s="186">
        <v>5.77</v>
      </c>
      <c r="G837" s="186">
        <v>3.070789784</v>
      </c>
    </row>
    <row r="838" spans="1:7" ht="14.4">
      <c r="A838" s="186">
        <v>837</v>
      </c>
      <c r="B838" s="186" t="s">
        <v>178</v>
      </c>
      <c r="C838" s="186" t="s">
        <v>1083</v>
      </c>
      <c r="D838" s="186">
        <v>0.1</v>
      </c>
      <c r="E838" s="186">
        <v>5.97</v>
      </c>
      <c r="F838" s="186">
        <v>5.78</v>
      </c>
      <c r="G838" s="186">
        <v>3.0766015439999999</v>
      </c>
    </row>
    <row r="839" spans="1:7" ht="14.4">
      <c r="A839" s="186">
        <v>838</v>
      </c>
      <c r="B839" s="186" t="s">
        <v>162</v>
      </c>
      <c r="C839" s="186" t="s">
        <v>1084</v>
      </c>
      <c r="D839" s="186">
        <v>604.79999999999995</v>
      </c>
      <c r="E839" s="186">
        <v>5.81</v>
      </c>
      <c r="F839" s="186">
        <v>5.78</v>
      </c>
      <c r="G839" s="186">
        <v>3.0766015439999999</v>
      </c>
    </row>
    <row r="840" spans="1:7" ht="14.4">
      <c r="A840" s="186">
        <v>839</v>
      </c>
      <c r="B840" s="186" t="s">
        <v>194</v>
      </c>
      <c r="C840" s="186" t="s">
        <v>1085</v>
      </c>
      <c r="D840" s="186">
        <v>575.9</v>
      </c>
      <c r="E840" s="186">
        <v>5.76</v>
      </c>
      <c r="F840" s="186">
        <v>5.78</v>
      </c>
      <c r="G840" s="186">
        <v>3.0766015439999999</v>
      </c>
    </row>
    <row r="841" spans="1:7" ht="14.4">
      <c r="A841" s="186">
        <v>840</v>
      </c>
      <c r="B841" s="186" t="s">
        <v>553</v>
      </c>
      <c r="C841" s="186" t="s">
        <v>1086</v>
      </c>
      <c r="D841" s="186">
        <v>705.6</v>
      </c>
      <c r="E841" s="186">
        <v>5.83</v>
      </c>
      <c r="F841" s="186">
        <v>5.78</v>
      </c>
      <c r="G841" s="186">
        <v>3.0766015439999999</v>
      </c>
    </row>
    <row r="842" spans="1:7" ht="14.4">
      <c r="A842" s="186">
        <v>841</v>
      </c>
      <c r="B842" s="186" t="s">
        <v>138</v>
      </c>
      <c r="C842" s="186" t="s">
        <v>1087</v>
      </c>
      <c r="D842" s="187">
        <v>1060.3</v>
      </c>
      <c r="E842" s="186">
        <v>6.23</v>
      </c>
      <c r="F842" s="186">
        <v>5.79</v>
      </c>
      <c r="G842" s="186">
        <v>3.082423753</v>
      </c>
    </row>
    <row r="843" spans="1:7" ht="14.4">
      <c r="A843" s="186">
        <v>842</v>
      </c>
      <c r="B843" s="186" t="s">
        <v>138</v>
      </c>
      <c r="C843" s="186" t="s">
        <v>1088</v>
      </c>
      <c r="D843" s="186">
        <v>37.1</v>
      </c>
      <c r="E843" s="186">
        <v>5.72</v>
      </c>
      <c r="F843" s="186">
        <v>5.79</v>
      </c>
      <c r="G843" s="186">
        <v>3.082423753</v>
      </c>
    </row>
    <row r="844" spans="1:7" ht="14.4">
      <c r="A844" s="186">
        <v>843</v>
      </c>
      <c r="B844" s="186" t="s">
        <v>175</v>
      </c>
      <c r="C844" s="186" t="s">
        <v>1089</v>
      </c>
      <c r="D844" s="186">
        <v>125</v>
      </c>
      <c r="E844" s="186">
        <v>5.73</v>
      </c>
      <c r="F844" s="186">
        <v>5.79</v>
      </c>
      <c r="G844" s="186">
        <v>3.082423753</v>
      </c>
    </row>
    <row r="845" spans="1:7" ht="14.4">
      <c r="A845" s="186">
        <v>844</v>
      </c>
      <c r="B845" s="186" t="s">
        <v>348</v>
      </c>
      <c r="C845" s="186" t="s">
        <v>1090</v>
      </c>
      <c r="D845" s="186">
        <v>184.6</v>
      </c>
      <c r="E845" s="186">
        <v>5.66</v>
      </c>
      <c r="F845" s="186">
        <v>5.79</v>
      </c>
      <c r="G845" s="186">
        <v>3.082423753</v>
      </c>
    </row>
    <row r="846" spans="1:7" ht="14.4">
      <c r="A846" s="186">
        <v>845</v>
      </c>
      <c r="B846" s="186" t="s">
        <v>387</v>
      </c>
      <c r="C846" s="186" t="s">
        <v>1091</v>
      </c>
      <c r="D846" s="186">
        <v>676.7</v>
      </c>
      <c r="E846" s="186">
        <v>6.02</v>
      </c>
      <c r="F846" s="186">
        <v>5.8</v>
      </c>
      <c r="G846" s="186">
        <v>3.0882564280000002</v>
      </c>
    </row>
    <row r="847" spans="1:7" ht="14.4">
      <c r="A847" s="186">
        <v>846</v>
      </c>
      <c r="B847" s="186" t="s">
        <v>153</v>
      </c>
      <c r="C847" s="186" t="s">
        <v>1092</v>
      </c>
      <c r="D847" s="186">
        <v>18.600000000000001</v>
      </c>
      <c r="E847" s="186">
        <v>5.55</v>
      </c>
      <c r="F847" s="186">
        <v>5.8</v>
      </c>
      <c r="G847" s="186">
        <v>3.0882564280000002</v>
      </c>
    </row>
    <row r="848" spans="1:7" ht="14.4">
      <c r="A848" s="186">
        <v>847</v>
      </c>
      <c r="B848" s="186" t="s">
        <v>146</v>
      </c>
      <c r="C848" s="186" t="s">
        <v>1093</v>
      </c>
      <c r="D848" s="186">
        <v>2.8</v>
      </c>
      <c r="E848" s="186" t="s">
        <v>152</v>
      </c>
      <c r="F848" s="186">
        <v>5.8</v>
      </c>
      <c r="G848" s="186">
        <v>3.0882564280000002</v>
      </c>
    </row>
    <row r="849" spans="1:7" ht="14.4">
      <c r="A849" s="186">
        <v>848</v>
      </c>
      <c r="B849" s="186" t="s">
        <v>553</v>
      </c>
      <c r="C849" s="186" t="s">
        <v>1094</v>
      </c>
      <c r="D849" s="186">
        <v>60.6</v>
      </c>
      <c r="E849" s="186">
        <v>5.86</v>
      </c>
      <c r="F849" s="186">
        <v>5.8</v>
      </c>
      <c r="G849" s="186">
        <v>3.0882564280000002</v>
      </c>
    </row>
    <row r="850" spans="1:7" ht="14.4">
      <c r="A850" s="186">
        <v>849</v>
      </c>
      <c r="B850" s="186" t="s">
        <v>553</v>
      </c>
      <c r="C850" s="186" t="s">
        <v>1095</v>
      </c>
      <c r="D850" s="186">
        <v>73.400000000000006</v>
      </c>
      <c r="E850" s="186">
        <v>5.85</v>
      </c>
      <c r="F850" s="186">
        <v>5.8</v>
      </c>
      <c r="G850" s="186">
        <v>3.0882564280000002</v>
      </c>
    </row>
    <row r="851" spans="1:7" ht="14.4">
      <c r="A851" s="186">
        <v>850</v>
      </c>
      <c r="B851" s="186" t="s">
        <v>415</v>
      </c>
      <c r="C851" s="186" t="s">
        <v>1096</v>
      </c>
      <c r="D851" s="186">
        <v>699.6</v>
      </c>
      <c r="E851" s="186">
        <v>5.53</v>
      </c>
      <c r="F851" s="186">
        <v>5.8</v>
      </c>
      <c r="G851" s="186">
        <v>3.0882564280000002</v>
      </c>
    </row>
    <row r="852" spans="1:7" ht="14.4">
      <c r="A852" s="186">
        <v>851</v>
      </c>
      <c r="B852" s="186" t="s">
        <v>488</v>
      </c>
      <c r="C852" s="186" t="s">
        <v>1097</v>
      </c>
      <c r="D852" s="186">
        <v>77.099999999999994</v>
      </c>
      <c r="E852" s="186">
        <v>6.18</v>
      </c>
      <c r="F852" s="186">
        <v>5.8</v>
      </c>
      <c r="G852" s="186">
        <v>3.0882564280000002</v>
      </c>
    </row>
    <row r="853" spans="1:7" ht="14.4">
      <c r="A853" s="186">
        <v>852</v>
      </c>
      <c r="B853" s="186" t="s">
        <v>325</v>
      </c>
      <c r="C853" s="186" t="s">
        <v>1098</v>
      </c>
      <c r="D853" s="186">
        <v>16.100000000000001</v>
      </c>
      <c r="E853" s="186">
        <v>5.62</v>
      </c>
      <c r="F853" s="186">
        <v>5.8</v>
      </c>
      <c r="G853" s="186">
        <v>3.0882564280000002</v>
      </c>
    </row>
    <row r="854" spans="1:7" ht="14.4">
      <c r="A854" s="186">
        <v>853</v>
      </c>
      <c r="B854" s="186" t="s">
        <v>387</v>
      </c>
      <c r="C854" s="186" t="s">
        <v>1099</v>
      </c>
      <c r="D854" s="187">
        <v>1691.1</v>
      </c>
      <c r="E854" s="186">
        <v>6.18</v>
      </c>
      <c r="F854" s="186">
        <v>5.81</v>
      </c>
      <c r="G854" s="186">
        <v>3.094099586</v>
      </c>
    </row>
    <row r="855" spans="1:7" ht="14.4">
      <c r="A855" s="186">
        <v>854</v>
      </c>
      <c r="B855" s="186" t="s">
        <v>422</v>
      </c>
      <c r="C855" s="186" t="s">
        <v>1100</v>
      </c>
      <c r="D855" s="186">
        <v>2.1</v>
      </c>
      <c r="E855" s="186">
        <v>6.26</v>
      </c>
      <c r="F855" s="186">
        <v>5.81</v>
      </c>
      <c r="G855" s="186">
        <v>3.094099586</v>
      </c>
    </row>
    <row r="856" spans="1:7" ht="14.4">
      <c r="A856" s="186">
        <v>855</v>
      </c>
      <c r="B856" s="186" t="s">
        <v>164</v>
      </c>
      <c r="C856" s="186" t="s">
        <v>1101</v>
      </c>
      <c r="D856" s="186">
        <v>835.3</v>
      </c>
      <c r="E856" s="186">
        <v>6.08</v>
      </c>
      <c r="F856" s="186">
        <v>5.81</v>
      </c>
      <c r="G856" s="186">
        <v>3.094099586</v>
      </c>
    </row>
    <row r="857" spans="1:7" ht="14.4">
      <c r="A857" s="186">
        <v>856</v>
      </c>
      <c r="B857" s="186" t="s">
        <v>1102</v>
      </c>
      <c r="C857" s="186" t="s">
        <v>1103</v>
      </c>
      <c r="D857" s="187">
        <v>10022.9</v>
      </c>
      <c r="E857" s="186">
        <v>5.79</v>
      </c>
      <c r="F857" s="186">
        <v>5.81</v>
      </c>
      <c r="G857" s="186">
        <v>3.094099586</v>
      </c>
    </row>
    <row r="858" spans="1:7" ht="14.4">
      <c r="A858" s="186">
        <v>857</v>
      </c>
      <c r="B858" s="186" t="s">
        <v>226</v>
      </c>
      <c r="C858" s="186" t="s">
        <v>1104</v>
      </c>
      <c r="D858" s="186">
        <v>3.5</v>
      </c>
      <c r="E858" s="186">
        <v>5.94</v>
      </c>
      <c r="F858" s="186">
        <v>5.82</v>
      </c>
      <c r="G858" s="186">
        <v>3.0999532470000002</v>
      </c>
    </row>
    <row r="859" spans="1:7" ht="14.4">
      <c r="A859" s="186">
        <v>858</v>
      </c>
      <c r="B859" s="186" t="s">
        <v>226</v>
      </c>
      <c r="C859" s="186" t="s">
        <v>1105</v>
      </c>
      <c r="D859" s="186">
        <v>517.29999999999995</v>
      </c>
      <c r="E859" s="186">
        <v>6.25</v>
      </c>
      <c r="F859" s="186">
        <v>5.82</v>
      </c>
      <c r="G859" s="186">
        <v>3.0999532470000002</v>
      </c>
    </row>
    <row r="860" spans="1:7" ht="14.4">
      <c r="A860" s="186">
        <v>859</v>
      </c>
      <c r="B860" s="186" t="s">
        <v>210</v>
      </c>
      <c r="C860" s="186" t="s">
        <v>1106</v>
      </c>
      <c r="D860" s="186">
        <v>450.5</v>
      </c>
      <c r="E860" s="186">
        <v>5.86</v>
      </c>
      <c r="F860" s="186">
        <v>5.82</v>
      </c>
      <c r="G860" s="186">
        <v>3.0999532470000002</v>
      </c>
    </row>
    <row r="861" spans="1:7" ht="14.4">
      <c r="A861" s="186">
        <v>860</v>
      </c>
      <c r="B861" s="186" t="s">
        <v>210</v>
      </c>
      <c r="C861" s="186" t="s">
        <v>1107</v>
      </c>
      <c r="D861" s="186">
        <v>387.7</v>
      </c>
      <c r="E861" s="186">
        <v>6.13</v>
      </c>
      <c r="F861" s="186">
        <v>5.82</v>
      </c>
      <c r="G861" s="186">
        <v>3.0999532470000002</v>
      </c>
    </row>
    <row r="862" spans="1:7" ht="14.4">
      <c r="A862" s="186">
        <v>861</v>
      </c>
      <c r="B862" s="186" t="s">
        <v>133</v>
      </c>
      <c r="C862" s="186" t="s">
        <v>1108</v>
      </c>
      <c r="D862" s="186">
        <v>17.5</v>
      </c>
      <c r="E862" s="186">
        <v>5.99</v>
      </c>
      <c r="F862" s="186">
        <v>5.82</v>
      </c>
      <c r="G862" s="186">
        <v>3.0999532470000002</v>
      </c>
    </row>
    <row r="863" spans="1:7" ht="14.4">
      <c r="A863" s="186">
        <v>862</v>
      </c>
      <c r="B863" s="186" t="s">
        <v>307</v>
      </c>
      <c r="C863" s="186" t="s">
        <v>1109</v>
      </c>
      <c r="D863" s="186">
        <v>151.1</v>
      </c>
      <c r="E863" s="186">
        <v>5.82</v>
      </c>
      <c r="F863" s="186">
        <v>5.82</v>
      </c>
      <c r="G863" s="186">
        <v>3.0999532470000002</v>
      </c>
    </row>
    <row r="864" spans="1:7" ht="14.4">
      <c r="A864" s="186">
        <v>863</v>
      </c>
      <c r="B864" s="186" t="s">
        <v>941</v>
      </c>
      <c r="C864" s="186" t="s">
        <v>1110</v>
      </c>
      <c r="D864" s="186">
        <v>12.8</v>
      </c>
      <c r="E864" s="186">
        <v>6.2</v>
      </c>
      <c r="F864" s="186">
        <v>5.82</v>
      </c>
      <c r="G864" s="186">
        <v>3.0999532470000002</v>
      </c>
    </row>
    <row r="865" spans="1:7" ht="14.4">
      <c r="A865" s="186">
        <v>864</v>
      </c>
      <c r="B865" s="186" t="s">
        <v>415</v>
      </c>
      <c r="C865" s="186" t="s">
        <v>1111</v>
      </c>
      <c r="D865" s="187">
        <v>1425.6</v>
      </c>
      <c r="E865" s="186">
        <v>5.83</v>
      </c>
      <c r="F865" s="186">
        <v>5.82</v>
      </c>
      <c r="G865" s="186">
        <v>3.0999532470000002</v>
      </c>
    </row>
    <row r="866" spans="1:7" ht="14.4">
      <c r="A866" s="186">
        <v>865</v>
      </c>
      <c r="B866" s="186" t="s">
        <v>643</v>
      </c>
      <c r="C866" s="186" t="s">
        <v>1112</v>
      </c>
      <c r="D866" s="186">
        <v>107.5</v>
      </c>
      <c r="E866" s="186">
        <v>5.63</v>
      </c>
      <c r="F866" s="186">
        <v>5.83</v>
      </c>
      <c r="G866" s="186">
        <v>3.1058174269999999</v>
      </c>
    </row>
    <row r="867" spans="1:7" ht="14.4">
      <c r="A867" s="186">
        <v>866</v>
      </c>
      <c r="B867" s="186" t="s">
        <v>271</v>
      </c>
      <c r="C867" s="186" t="s">
        <v>1113</v>
      </c>
      <c r="D867" s="186">
        <v>168.7</v>
      </c>
      <c r="E867" s="186">
        <v>5.59</v>
      </c>
      <c r="F867" s="186">
        <v>5.84</v>
      </c>
      <c r="G867" s="186">
        <v>3.1116921450000001</v>
      </c>
    </row>
    <row r="868" spans="1:7" ht="14.4">
      <c r="A868" s="186">
        <v>867</v>
      </c>
      <c r="B868" s="186" t="s">
        <v>162</v>
      </c>
      <c r="C868" s="186" t="s">
        <v>1114</v>
      </c>
      <c r="D868" s="186">
        <v>871.7</v>
      </c>
      <c r="E868" s="186">
        <v>5.88</v>
      </c>
      <c r="F868" s="186">
        <v>5.84</v>
      </c>
      <c r="G868" s="186">
        <v>3.1116921450000001</v>
      </c>
    </row>
    <row r="869" spans="1:7" ht="14.4">
      <c r="A869" s="186">
        <v>868</v>
      </c>
      <c r="B869" s="186" t="s">
        <v>252</v>
      </c>
      <c r="C869" s="186" t="s">
        <v>1115</v>
      </c>
      <c r="D869" s="186">
        <v>236.5</v>
      </c>
      <c r="E869" s="186">
        <v>6.15</v>
      </c>
      <c r="F869" s="186">
        <v>5.84</v>
      </c>
      <c r="G869" s="186">
        <v>3.1116921450000001</v>
      </c>
    </row>
    <row r="870" spans="1:7" ht="14.4">
      <c r="A870" s="186">
        <v>869</v>
      </c>
      <c r="B870" s="186" t="s">
        <v>422</v>
      </c>
      <c r="C870" s="186" t="s">
        <v>1116</v>
      </c>
      <c r="D870" s="186">
        <v>10.199999999999999</v>
      </c>
      <c r="E870" s="186">
        <v>6.29</v>
      </c>
      <c r="F870" s="186">
        <v>5.84</v>
      </c>
      <c r="G870" s="186">
        <v>3.1116921450000001</v>
      </c>
    </row>
    <row r="871" spans="1:7" ht="14.4">
      <c r="A871" s="186">
        <v>870</v>
      </c>
      <c r="B871" s="186" t="s">
        <v>148</v>
      </c>
      <c r="C871" s="186" t="s">
        <v>1117</v>
      </c>
      <c r="D871" s="186">
        <v>9.9</v>
      </c>
      <c r="E871" s="186">
        <v>5.9</v>
      </c>
      <c r="F871" s="186">
        <v>5.84</v>
      </c>
      <c r="G871" s="186">
        <v>3.1116921450000001</v>
      </c>
    </row>
    <row r="872" spans="1:7" ht="14.4">
      <c r="A872" s="186">
        <v>871</v>
      </c>
      <c r="B872" s="186" t="s">
        <v>335</v>
      </c>
      <c r="C872" s="186" t="s">
        <v>1118</v>
      </c>
      <c r="D872" s="186">
        <v>4.5</v>
      </c>
      <c r="E872" s="186">
        <v>5.92</v>
      </c>
      <c r="F872" s="186">
        <v>5.84</v>
      </c>
      <c r="G872" s="186">
        <v>3.1116921450000001</v>
      </c>
    </row>
    <row r="873" spans="1:7" ht="14.4">
      <c r="A873" s="186">
        <v>872</v>
      </c>
      <c r="B873" s="186" t="s">
        <v>1119</v>
      </c>
      <c r="C873" s="186" t="s">
        <v>1120</v>
      </c>
      <c r="D873" s="186">
        <v>48.3</v>
      </c>
      <c r="E873" s="186">
        <v>5.78</v>
      </c>
      <c r="F873" s="186">
        <v>5.84</v>
      </c>
      <c r="G873" s="186">
        <v>3.1116921450000001</v>
      </c>
    </row>
    <row r="874" spans="1:7" ht="14.4">
      <c r="A874" s="186">
        <v>873</v>
      </c>
      <c r="B874" s="186" t="s">
        <v>138</v>
      </c>
      <c r="C874" s="186" t="s">
        <v>1121</v>
      </c>
      <c r="D874" s="186">
        <v>1.7</v>
      </c>
      <c r="E874" s="186">
        <v>6.29</v>
      </c>
      <c r="F874" s="186">
        <v>5.85</v>
      </c>
      <c r="G874" s="186">
        <v>3.1175774189999998</v>
      </c>
    </row>
    <row r="875" spans="1:7" ht="14.4">
      <c r="A875" s="186">
        <v>874</v>
      </c>
      <c r="B875" s="186" t="s">
        <v>953</v>
      </c>
      <c r="C875" s="186" t="s">
        <v>1122</v>
      </c>
      <c r="D875" s="186">
        <v>38.299999999999997</v>
      </c>
      <c r="E875" s="186">
        <v>6.05</v>
      </c>
      <c r="F875" s="186">
        <v>5.85</v>
      </c>
      <c r="G875" s="186">
        <v>3.1175774189999998</v>
      </c>
    </row>
    <row r="876" spans="1:7" ht="14.4">
      <c r="A876" s="186">
        <v>875</v>
      </c>
      <c r="B876" s="186" t="s">
        <v>197</v>
      </c>
      <c r="C876" s="186" t="s">
        <v>1123</v>
      </c>
      <c r="D876" s="186">
        <v>25.6</v>
      </c>
      <c r="E876" s="186" t="s">
        <v>152</v>
      </c>
      <c r="F876" s="186">
        <v>5.85</v>
      </c>
      <c r="G876" s="186">
        <v>3.1175774189999998</v>
      </c>
    </row>
    <row r="877" spans="1:7" ht="14.4">
      <c r="A877" s="186">
        <v>876</v>
      </c>
      <c r="B877" s="186" t="s">
        <v>293</v>
      </c>
      <c r="C877" s="186" t="s">
        <v>1124</v>
      </c>
      <c r="D877" s="186">
        <v>839.7</v>
      </c>
      <c r="E877" s="186">
        <v>6.15</v>
      </c>
      <c r="F877" s="186">
        <v>5.85</v>
      </c>
      <c r="G877" s="186">
        <v>3.1175774189999998</v>
      </c>
    </row>
    <row r="878" spans="1:7" ht="14.4">
      <c r="A878" s="186">
        <v>877</v>
      </c>
      <c r="B878" s="186" t="s">
        <v>335</v>
      </c>
      <c r="C878" s="186" t="s">
        <v>1125</v>
      </c>
      <c r="D878" s="186">
        <v>91.9</v>
      </c>
      <c r="E878" s="186">
        <v>6.29</v>
      </c>
      <c r="F878" s="186">
        <v>5.85</v>
      </c>
      <c r="G878" s="186">
        <v>3.1175774189999998</v>
      </c>
    </row>
    <row r="879" spans="1:7" ht="14.4">
      <c r="A879" s="186">
        <v>878</v>
      </c>
      <c r="B879" s="186" t="s">
        <v>335</v>
      </c>
      <c r="C879" s="186" t="s">
        <v>1126</v>
      </c>
      <c r="D879" s="186">
        <v>112.3</v>
      </c>
      <c r="E879" s="186">
        <v>6.1</v>
      </c>
      <c r="F879" s="186">
        <v>5.85</v>
      </c>
      <c r="G879" s="186">
        <v>3.1175774189999998</v>
      </c>
    </row>
    <row r="880" spans="1:7" ht="14.4">
      <c r="A880" s="186">
        <v>879</v>
      </c>
      <c r="B880" s="186" t="s">
        <v>241</v>
      </c>
      <c r="C880" s="186" t="s">
        <v>1127</v>
      </c>
      <c r="D880" s="186">
        <v>309.2</v>
      </c>
      <c r="E880" s="186">
        <v>6.12</v>
      </c>
      <c r="F880" s="186">
        <v>5.86</v>
      </c>
      <c r="G880" s="186">
        <v>3.123473266</v>
      </c>
    </row>
    <row r="881" spans="1:7" ht="14.4">
      <c r="A881" s="186">
        <v>880</v>
      </c>
      <c r="B881" s="186" t="s">
        <v>422</v>
      </c>
      <c r="C881" s="186" t="s">
        <v>1128</v>
      </c>
      <c r="D881" s="186">
        <v>47.7</v>
      </c>
      <c r="E881" s="186">
        <v>6.15</v>
      </c>
      <c r="F881" s="186">
        <v>5.86</v>
      </c>
      <c r="G881" s="186">
        <v>3.123473266</v>
      </c>
    </row>
    <row r="882" spans="1:7" ht="14.4">
      <c r="A882" s="186">
        <v>881</v>
      </c>
      <c r="B882" s="186" t="s">
        <v>335</v>
      </c>
      <c r="C882" s="186" t="s">
        <v>1129</v>
      </c>
      <c r="D882" s="186">
        <v>151.80000000000001</v>
      </c>
      <c r="E882" s="186">
        <v>5.71</v>
      </c>
      <c r="F882" s="186">
        <v>5.86</v>
      </c>
      <c r="G882" s="186">
        <v>3.123473266</v>
      </c>
    </row>
    <row r="883" spans="1:7" ht="14.4">
      <c r="A883" s="186">
        <v>882</v>
      </c>
      <c r="B883" s="186" t="s">
        <v>335</v>
      </c>
      <c r="C883" s="186" t="s">
        <v>1130</v>
      </c>
      <c r="D883" s="186">
        <v>460.5</v>
      </c>
      <c r="E883" s="186">
        <v>5.94</v>
      </c>
      <c r="F883" s="186">
        <v>5.86</v>
      </c>
      <c r="G883" s="186">
        <v>3.123473266</v>
      </c>
    </row>
    <row r="884" spans="1:7" ht="14.4">
      <c r="A884" s="186">
        <v>883</v>
      </c>
      <c r="B884" s="186" t="s">
        <v>545</v>
      </c>
      <c r="C884" s="186" t="s">
        <v>1131</v>
      </c>
      <c r="D884" s="186">
        <v>22.7</v>
      </c>
      <c r="E884" s="186">
        <v>5.9</v>
      </c>
      <c r="F884" s="186">
        <v>5.86</v>
      </c>
      <c r="G884" s="186">
        <v>3.123473266</v>
      </c>
    </row>
    <row r="885" spans="1:7" ht="14.4">
      <c r="A885" s="186">
        <v>884</v>
      </c>
      <c r="B885" s="186" t="s">
        <v>187</v>
      </c>
      <c r="C885" s="186" t="s">
        <v>1132</v>
      </c>
      <c r="D885" s="187">
        <v>1131.9000000000001</v>
      </c>
      <c r="E885" s="186">
        <v>5.91</v>
      </c>
      <c r="F885" s="186">
        <v>5.86</v>
      </c>
      <c r="G885" s="186">
        <v>3.123473266</v>
      </c>
    </row>
    <row r="886" spans="1:7" ht="14.4">
      <c r="A886" s="186">
        <v>885</v>
      </c>
      <c r="B886" s="186" t="s">
        <v>245</v>
      </c>
      <c r="C886" s="186" t="s">
        <v>1133</v>
      </c>
      <c r="D886" s="187">
        <v>1651.6</v>
      </c>
      <c r="E886" s="186">
        <v>6.06</v>
      </c>
      <c r="F886" s="186">
        <v>5.86</v>
      </c>
      <c r="G886" s="186">
        <v>3.123473266</v>
      </c>
    </row>
    <row r="887" spans="1:7" ht="14.4">
      <c r="A887" s="186">
        <v>886</v>
      </c>
      <c r="B887" s="186" t="s">
        <v>280</v>
      </c>
      <c r="C887" s="186" t="s">
        <v>1134</v>
      </c>
      <c r="D887" s="186">
        <v>210.2</v>
      </c>
      <c r="E887" s="186">
        <v>6.14</v>
      </c>
      <c r="F887" s="186">
        <v>5.86</v>
      </c>
      <c r="G887" s="186">
        <v>3.123473266</v>
      </c>
    </row>
    <row r="888" spans="1:7" ht="14.4">
      <c r="A888" s="186">
        <v>887</v>
      </c>
      <c r="B888" s="186" t="s">
        <v>138</v>
      </c>
      <c r="C888" s="186" t="s">
        <v>1135</v>
      </c>
      <c r="D888" s="186">
        <v>28.1</v>
      </c>
      <c r="E888" s="186">
        <v>6.22</v>
      </c>
      <c r="F888" s="186">
        <v>5.87</v>
      </c>
      <c r="G888" s="186">
        <v>3.1293797040000002</v>
      </c>
    </row>
    <row r="889" spans="1:7" ht="14.4">
      <c r="A889" s="186">
        <v>888</v>
      </c>
      <c r="B889" s="186" t="s">
        <v>286</v>
      </c>
      <c r="C889" s="186" t="s">
        <v>1136</v>
      </c>
      <c r="D889" s="187">
        <v>1789</v>
      </c>
      <c r="E889" s="186">
        <v>6.11</v>
      </c>
      <c r="F889" s="186">
        <v>5.87</v>
      </c>
      <c r="G889" s="186">
        <v>3.1293797040000002</v>
      </c>
    </row>
    <row r="890" spans="1:7" ht="14.4">
      <c r="A890" s="186">
        <v>889</v>
      </c>
      <c r="B890" s="186" t="s">
        <v>252</v>
      </c>
      <c r="C890" s="186" t="s">
        <v>1137</v>
      </c>
      <c r="D890" s="186">
        <v>2.5</v>
      </c>
      <c r="E890" s="186">
        <v>6.18</v>
      </c>
      <c r="F890" s="186">
        <v>5.87</v>
      </c>
      <c r="G890" s="186">
        <v>3.1293797040000002</v>
      </c>
    </row>
    <row r="891" spans="1:7" ht="14.4">
      <c r="A891" s="186">
        <v>890</v>
      </c>
      <c r="B891" s="186" t="s">
        <v>146</v>
      </c>
      <c r="C891" s="186" t="s">
        <v>1138</v>
      </c>
      <c r="D891" s="186">
        <v>57.6</v>
      </c>
      <c r="E891" s="186">
        <v>6.53</v>
      </c>
      <c r="F891" s="186">
        <v>5.87</v>
      </c>
      <c r="G891" s="186">
        <v>3.1293797040000002</v>
      </c>
    </row>
    <row r="892" spans="1:7" ht="14.4">
      <c r="A892" s="186">
        <v>891</v>
      </c>
      <c r="B892" s="186" t="s">
        <v>415</v>
      </c>
      <c r="C892" s="186" t="s">
        <v>1139</v>
      </c>
      <c r="D892" s="187">
        <v>4594.5</v>
      </c>
      <c r="E892" s="186">
        <v>5.83</v>
      </c>
      <c r="F892" s="186">
        <v>5.87</v>
      </c>
      <c r="G892" s="186">
        <v>3.1293797040000002</v>
      </c>
    </row>
    <row r="893" spans="1:7" ht="14.4">
      <c r="A893" s="186">
        <v>892</v>
      </c>
      <c r="B893" s="186" t="s">
        <v>213</v>
      </c>
      <c r="C893" s="186" t="s">
        <v>1140</v>
      </c>
      <c r="D893" s="186">
        <v>4.4000000000000004</v>
      </c>
      <c r="E893" s="186">
        <v>6.01</v>
      </c>
      <c r="F893" s="186">
        <v>5.87</v>
      </c>
      <c r="G893" s="186">
        <v>3.1293797040000002</v>
      </c>
    </row>
    <row r="894" spans="1:7" ht="14.4">
      <c r="A894" s="186">
        <v>893</v>
      </c>
      <c r="B894" s="186" t="s">
        <v>392</v>
      </c>
      <c r="C894" s="186" t="s">
        <v>1141</v>
      </c>
      <c r="D894" s="186">
        <v>782.4</v>
      </c>
      <c r="E894" s="186">
        <v>6.08</v>
      </c>
      <c r="F894" s="186">
        <v>5.87</v>
      </c>
      <c r="G894" s="186">
        <v>3.1293797040000002</v>
      </c>
    </row>
    <row r="895" spans="1:7" ht="14.4">
      <c r="A895" s="186">
        <v>894</v>
      </c>
      <c r="B895" s="186" t="s">
        <v>128</v>
      </c>
      <c r="C895" s="186" t="s">
        <v>1142</v>
      </c>
      <c r="D895" s="186">
        <v>157.69999999999999</v>
      </c>
      <c r="E895" s="186">
        <v>6.24</v>
      </c>
      <c r="F895" s="186">
        <v>5.87</v>
      </c>
      <c r="G895" s="186">
        <v>3.1293797040000002</v>
      </c>
    </row>
    <row r="896" spans="1:7" ht="14.4">
      <c r="A896" s="186">
        <v>895</v>
      </c>
      <c r="B896" s="186" t="s">
        <v>865</v>
      </c>
      <c r="C896" s="186" t="s">
        <v>1143</v>
      </c>
      <c r="D896" s="186">
        <v>260.89999999999998</v>
      </c>
      <c r="E896" s="186">
        <v>6.24</v>
      </c>
      <c r="F896" s="186">
        <v>5.88</v>
      </c>
      <c r="G896" s="186">
        <v>3.1352967519999999</v>
      </c>
    </row>
    <row r="897" spans="1:7" ht="14.4">
      <c r="A897" s="186">
        <v>896</v>
      </c>
      <c r="B897" s="186" t="s">
        <v>263</v>
      </c>
      <c r="C897" s="186" t="s">
        <v>1144</v>
      </c>
      <c r="D897" s="186">
        <v>105.5</v>
      </c>
      <c r="E897" s="186">
        <v>5.95</v>
      </c>
      <c r="F897" s="186">
        <v>5.88</v>
      </c>
      <c r="G897" s="186">
        <v>3.1352967519999999</v>
      </c>
    </row>
    <row r="898" spans="1:7" ht="14.4">
      <c r="A898" s="186">
        <v>897</v>
      </c>
      <c r="B898" s="186" t="s">
        <v>226</v>
      </c>
      <c r="C898" s="186" t="s">
        <v>1145</v>
      </c>
      <c r="D898" s="186">
        <v>167</v>
      </c>
      <c r="E898" s="186">
        <v>5.33</v>
      </c>
      <c r="F898" s="186">
        <v>5.88</v>
      </c>
      <c r="G898" s="186">
        <v>3.1352967519999999</v>
      </c>
    </row>
    <row r="899" spans="1:7" ht="14.4">
      <c r="A899" s="186">
        <v>898</v>
      </c>
      <c r="B899" s="186" t="s">
        <v>226</v>
      </c>
      <c r="C899" s="186" t="s">
        <v>1146</v>
      </c>
      <c r="D899" s="186">
        <v>0.3</v>
      </c>
      <c r="E899" s="186">
        <v>5.9</v>
      </c>
      <c r="F899" s="186">
        <v>5.88</v>
      </c>
      <c r="G899" s="186">
        <v>3.1352967519999999</v>
      </c>
    </row>
    <row r="900" spans="1:7" ht="14.4">
      <c r="A900" s="186">
        <v>899</v>
      </c>
      <c r="B900" s="186" t="s">
        <v>213</v>
      </c>
      <c r="C900" s="186" t="s">
        <v>1147</v>
      </c>
      <c r="D900" s="186">
        <v>717.6</v>
      </c>
      <c r="E900" s="186">
        <v>5.8</v>
      </c>
      <c r="F900" s="186">
        <v>5.88</v>
      </c>
      <c r="G900" s="186">
        <v>3.1352967519999999</v>
      </c>
    </row>
    <row r="901" spans="1:7" ht="14.4">
      <c r="A901" s="186">
        <v>900</v>
      </c>
      <c r="B901" s="186" t="s">
        <v>1148</v>
      </c>
      <c r="C901" s="186" t="s">
        <v>1149</v>
      </c>
      <c r="D901" s="186">
        <v>58.8</v>
      </c>
      <c r="E901" s="186" t="s">
        <v>152</v>
      </c>
      <c r="F901" s="186">
        <v>5.89</v>
      </c>
      <c r="G901" s="186">
        <v>3.1412244280000001</v>
      </c>
    </row>
    <row r="902" spans="1:7" ht="14.4">
      <c r="A902" s="186">
        <v>901</v>
      </c>
      <c r="B902" s="186" t="s">
        <v>1150</v>
      </c>
      <c r="C902" s="186" t="s">
        <v>1151</v>
      </c>
      <c r="D902" s="186">
        <v>757.7</v>
      </c>
      <c r="E902" s="186">
        <v>6.04</v>
      </c>
      <c r="F902" s="186">
        <v>5.89</v>
      </c>
      <c r="G902" s="186">
        <v>3.1412244280000001</v>
      </c>
    </row>
    <row r="903" spans="1:7" ht="14.4">
      <c r="A903" s="186">
        <v>902</v>
      </c>
      <c r="B903" s="186" t="s">
        <v>175</v>
      </c>
      <c r="C903" s="186" t="s">
        <v>1152</v>
      </c>
      <c r="D903" s="186">
        <v>192.2</v>
      </c>
      <c r="E903" s="186">
        <v>6.18</v>
      </c>
      <c r="F903" s="186">
        <v>5.89</v>
      </c>
      <c r="G903" s="186">
        <v>3.1412244280000001</v>
      </c>
    </row>
    <row r="904" spans="1:7" ht="14.4">
      <c r="A904" s="186">
        <v>903</v>
      </c>
      <c r="B904" s="186" t="s">
        <v>536</v>
      </c>
      <c r="C904" s="186" t="s">
        <v>1153</v>
      </c>
      <c r="D904" s="186">
        <v>103.1</v>
      </c>
      <c r="E904" s="186">
        <v>5.92</v>
      </c>
      <c r="F904" s="186">
        <v>5.89</v>
      </c>
      <c r="G904" s="186">
        <v>3.1412244280000001</v>
      </c>
    </row>
    <row r="905" spans="1:7" ht="14.4">
      <c r="A905" s="186">
        <v>904</v>
      </c>
      <c r="B905" s="186" t="s">
        <v>226</v>
      </c>
      <c r="C905" s="186" t="s">
        <v>1154</v>
      </c>
      <c r="D905" s="186">
        <v>18.8</v>
      </c>
      <c r="E905" s="186">
        <v>5.0199999999999996</v>
      </c>
      <c r="F905" s="186">
        <v>5.89</v>
      </c>
      <c r="G905" s="186">
        <v>3.1412244280000001</v>
      </c>
    </row>
    <row r="906" spans="1:7" ht="14.4">
      <c r="A906" s="186">
        <v>905</v>
      </c>
      <c r="B906" s="186" t="s">
        <v>187</v>
      </c>
      <c r="C906" s="186" t="s">
        <v>1155</v>
      </c>
      <c r="D906" s="187">
        <v>3931.5</v>
      </c>
      <c r="E906" s="186">
        <v>6.31</v>
      </c>
      <c r="F906" s="186">
        <v>5.89</v>
      </c>
      <c r="G906" s="186">
        <v>3.1412244280000001</v>
      </c>
    </row>
    <row r="907" spans="1:7" ht="14.4">
      <c r="A907" s="186">
        <v>906</v>
      </c>
      <c r="B907" s="186" t="s">
        <v>317</v>
      </c>
      <c r="C907" s="186" t="s">
        <v>1156</v>
      </c>
      <c r="D907" s="186">
        <v>5.5</v>
      </c>
      <c r="E907" s="186">
        <v>6.22</v>
      </c>
      <c r="F907" s="186">
        <v>5.89</v>
      </c>
      <c r="G907" s="186">
        <v>3.1412244280000001</v>
      </c>
    </row>
    <row r="908" spans="1:7" ht="14.4">
      <c r="A908" s="186">
        <v>907</v>
      </c>
      <c r="B908" s="186" t="s">
        <v>365</v>
      </c>
      <c r="C908" s="186" t="s">
        <v>1157</v>
      </c>
      <c r="D908" s="186">
        <v>140.5</v>
      </c>
      <c r="E908" s="186">
        <v>6.15</v>
      </c>
      <c r="F908" s="186">
        <v>5.9</v>
      </c>
      <c r="G908" s="186">
        <v>3.147162749</v>
      </c>
    </row>
    <row r="909" spans="1:7" ht="14.4">
      <c r="A909" s="186">
        <v>908</v>
      </c>
      <c r="B909" s="186" t="s">
        <v>307</v>
      </c>
      <c r="C909" s="186" t="s">
        <v>1158</v>
      </c>
      <c r="D909" s="186">
        <v>483.8</v>
      </c>
      <c r="E909" s="186">
        <v>5.89</v>
      </c>
      <c r="F909" s="186">
        <v>5.9</v>
      </c>
      <c r="G909" s="186">
        <v>3.147162749</v>
      </c>
    </row>
    <row r="910" spans="1:7" ht="14.4">
      <c r="A910" s="186">
        <v>909</v>
      </c>
      <c r="B910" s="186" t="s">
        <v>319</v>
      </c>
      <c r="C910" s="186" t="s">
        <v>1159</v>
      </c>
      <c r="D910" s="186">
        <v>248.1</v>
      </c>
      <c r="E910" s="186">
        <v>6.32</v>
      </c>
      <c r="F910" s="186">
        <v>5.9</v>
      </c>
      <c r="G910" s="186">
        <v>3.147162749</v>
      </c>
    </row>
    <row r="911" spans="1:7" ht="14.4">
      <c r="A911" s="186">
        <v>910</v>
      </c>
      <c r="B911" s="186" t="s">
        <v>1160</v>
      </c>
      <c r="C911" s="186" t="s">
        <v>1161</v>
      </c>
      <c r="D911" s="186">
        <v>444.5</v>
      </c>
      <c r="E911" s="186" t="s">
        <v>152</v>
      </c>
      <c r="F911" s="186">
        <v>5.91</v>
      </c>
      <c r="G911" s="186">
        <v>3.1531117339999999</v>
      </c>
    </row>
    <row r="912" spans="1:7" ht="14.4">
      <c r="A912" s="186">
        <v>911</v>
      </c>
      <c r="B912" s="186" t="s">
        <v>303</v>
      </c>
      <c r="C912" s="186" t="s">
        <v>1162</v>
      </c>
      <c r="D912" s="186">
        <v>157.30000000000001</v>
      </c>
      <c r="E912" s="186">
        <v>5.75</v>
      </c>
      <c r="F912" s="186">
        <v>5.91</v>
      </c>
      <c r="G912" s="186">
        <v>3.1531117339999999</v>
      </c>
    </row>
    <row r="913" spans="1:7" ht="14.4">
      <c r="A913" s="186">
        <v>912</v>
      </c>
      <c r="B913" s="186" t="s">
        <v>245</v>
      </c>
      <c r="C913" s="186" t="s">
        <v>1163</v>
      </c>
      <c r="D913" s="187">
        <v>1605.3</v>
      </c>
      <c r="E913" s="186">
        <v>6.2</v>
      </c>
      <c r="F913" s="186">
        <v>5.91</v>
      </c>
      <c r="G913" s="186">
        <v>3.1531117339999999</v>
      </c>
    </row>
    <row r="914" spans="1:7" ht="14.4">
      <c r="A914" s="186">
        <v>913</v>
      </c>
      <c r="B914" s="186" t="s">
        <v>571</v>
      </c>
      <c r="C914" s="186" t="s">
        <v>1164</v>
      </c>
      <c r="D914" s="186">
        <v>622.29999999999995</v>
      </c>
      <c r="E914" s="186">
        <v>6.24</v>
      </c>
      <c r="F914" s="186">
        <v>5.92</v>
      </c>
      <c r="G914" s="186">
        <v>3.1590714009999998</v>
      </c>
    </row>
    <row r="915" spans="1:7" ht="14.4">
      <c r="A915" s="186">
        <v>914</v>
      </c>
      <c r="B915" s="186" t="s">
        <v>146</v>
      </c>
      <c r="C915" s="186" t="s">
        <v>1165</v>
      </c>
      <c r="D915" s="186">
        <v>33.5</v>
      </c>
      <c r="E915" s="186">
        <v>6.31</v>
      </c>
      <c r="F915" s="186">
        <v>5.92</v>
      </c>
      <c r="G915" s="186">
        <v>3.1590714009999998</v>
      </c>
    </row>
    <row r="916" spans="1:7" ht="14.4">
      <c r="A916" s="186">
        <v>915</v>
      </c>
      <c r="B916" s="186" t="s">
        <v>146</v>
      </c>
      <c r="C916" s="186" t="s">
        <v>1166</v>
      </c>
      <c r="D916" s="186">
        <v>464.6</v>
      </c>
      <c r="E916" s="186">
        <v>5.85</v>
      </c>
      <c r="F916" s="186">
        <v>5.92</v>
      </c>
      <c r="G916" s="186">
        <v>3.1590714009999998</v>
      </c>
    </row>
    <row r="917" spans="1:7" ht="14.4">
      <c r="A917" s="186">
        <v>916</v>
      </c>
      <c r="B917" s="186" t="s">
        <v>553</v>
      </c>
      <c r="C917" s="186" t="s">
        <v>1167</v>
      </c>
      <c r="D917" s="186">
        <v>156</v>
      </c>
      <c r="E917" s="186">
        <v>6.24</v>
      </c>
      <c r="F917" s="186">
        <v>5.92</v>
      </c>
      <c r="G917" s="186">
        <v>3.1590714009999998</v>
      </c>
    </row>
    <row r="918" spans="1:7" ht="14.4">
      <c r="A918" s="186">
        <v>917</v>
      </c>
      <c r="B918" s="186" t="s">
        <v>1168</v>
      </c>
      <c r="C918" s="186" t="s">
        <v>1169</v>
      </c>
      <c r="D918" s="186">
        <v>220.9</v>
      </c>
      <c r="E918" s="186">
        <v>6.33</v>
      </c>
      <c r="F918" s="186">
        <v>5.93</v>
      </c>
      <c r="G918" s="186">
        <v>3.165041768</v>
      </c>
    </row>
    <row r="919" spans="1:7" ht="14.4">
      <c r="A919" s="186">
        <v>918</v>
      </c>
      <c r="B919" s="186" t="s">
        <v>536</v>
      </c>
      <c r="C919" s="186" t="s">
        <v>1170</v>
      </c>
      <c r="D919" s="187">
        <v>4965.1000000000004</v>
      </c>
      <c r="E919" s="186">
        <v>5.95</v>
      </c>
      <c r="F919" s="186">
        <v>5.93</v>
      </c>
      <c r="G919" s="186">
        <v>3.165041768</v>
      </c>
    </row>
    <row r="920" spans="1:7" ht="14.4">
      <c r="A920" s="186">
        <v>919</v>
      </c>
      <c r="B920" s="186" t="s">
        <v>477</v>
      </c>
      <c r="C920" s="186" t="s">
        <v>1171</v>
      </c>
      <c r="D920" s="186">
        <v>1.4</v>
      </c>
      <c r="E920" s="186">
        <v>6.26</v>
      </c>
      <c r="F920" s="186">
        <v>5.93</v>
      </c>
      <c r="G920" s="186">
        <v>3.165041768</v>
      </c>
    </row>
    <row r="921" spans="1:7" ht="14.4">
      <c r="A921" s="186">
        <v>920</v>
      </c>
      <c r="B921" s="186" t="s">
        <v>271</v>
      </c>
      <c r="C921" s="186" t="s">
        <v>1172</v>
      </c>
      <c r="D921" s="186">
        <v>174.1</v>
      </c>
      <c r="E921" s="186">
        <v>6.32</v>
      </c>
      <c r="F921" s="186">
        <v>5.94</v>
      </c>
      <c r="G921" s="186">
        <v>3.1710228539999998</v>
      </c>
    </row>
    <row r="922" spans="1:7" ht="14.4">
      <c r="A922" s="186">
        <v>921</v>
      </c>
      <c r="B922" s="186" t="s">
        <v>162</v>
      </c>
      <c r="C922" s="186" t="s">
        <v>1173</v>
      </c>
      <c r="D922" s="186">
        <v>601.4</v>
      </c>
      <c r="E922" s="186">
        <v>6.22</v>
      </c>
      <c r="F922" s="186">
        <v>5.94</v>
      </c>
      <c r="G922" s="186">
        <v>3.1710228539999998</v>
      </c>
    </row>
    <row r="923" spans="1:7" ht="14.4">
      <c r="A923" s="186">
        <v>922</v>
      </c>
      <c r="B923" s="186" t="s">
        <v>122</v>
      </c>
      <c r="C923" s="186" t="s">
        <v>1174</v>
      </c>
      <c r="D923" s="186">
        <v>190.3</v>
      </c>
      <c r="E923" s="186">
        <v>6.52</v>
      </c>
      <c r="F923" s="186">
        <v>5.94</v>
      </c>
      <c r="G923" s="186">
        <v>3.1710228539999998</v>
      </c>
    </row>
    <row r="924" spans="1:7" ht="14.4">
      <c r="A924" s="186">
        <v>923</v>
      </c>
      <c r="B924" s="186" t="s">
        <v>263</v>
      </c>
      <c r="C924" s="186" t="s">
        <v>1175</v>
      </c>
      <c r="D924" s="186">
        <v>7.2</v>
      </c>
      <c r="E924" s="186">
        <v>6.09</v>
      </c>
      <c r="F924" s="186">
        <v>5.94</v>
      </c>
      <c r="G924" s="186">
        <v>3.1710228539999998</v>
      </c>
    </row>
    <row r="925" spans="1:7" ht="14.4">
      <c r="A925" s="186">
        <v>924</v>
      </c>
      <c r="B925" s="186" t="s">
        <v>373</v>
      </c>
      <c r="C925" s="186" t="s">
        <v>1176</v>
      </c>
      <c r="D925" s="186">
        <v>560.6</v>
      </c>
      <c r="E925" s="186">
        <v>6.3</v>
      </c>
      <c r="F925" s="186">
        <v>5.94</v>
      </c>
      <c r="G925" s="186">
        <v>3.1710228539999998</v>
      </c>
    </row>
    <row r="926" spans="1:7" ht="14.4">
      <c r="A926" s="186">
        <v>925</v>
      </c>
      <c r="B926" s="186" t="s">
        <v>148</v>
      </c>
      <c r="C926" s="186" t="s">
        <v>1177</v>
      </c>
      <c r="D926" s="186">
        <v>14.3</v>
      </c>
      <c r="E926" s="186">
        <v>6.5</v>
      </c>
      <c r="F926" s="186">
        <v>5.94</v>
      </c>
      <c r="G926" s="186">
        <v>3.1710228539999998</v>
      </c>
    </row>
    <row r="927" spans="1:7" ht="14.4">
      <c r="A927" s="186">
        <v>926</v>
      </c>
      <c r="B927" s="186" t="s">
        <v>319</v>
      </c>
      <c r="C927" s="186" t="s">
        <v>1178</v>
      </c>
      <c r="D927" s="186">
        <v>2.6</v>
      </c>
      <c r="E927" s="186">
        <v>6.28</v>
      </c>
      <c r="F927" s="186">
        <v>5.94</v>
      </c>
      <c r="G927" s="186">
        <v>3.1710228539999998</v>
      </c>
    </row>
    <row r="928" spans="1:7" ht="14.4">
      <c r="A928" s="186">
        <v>927</v>
      </c>
      <c r="B928" s="186" t="s">
        <v>319</v>
      </c>
      <c r="C928" s="186" t="s">
        <v>1179</v>
      </c>
      <c r="D928" s="186">
        <v>315.8</v>
      </c>
      <c r="E928" s="186">
        <v>6.36</v>
      </c>
      <c r="F928" s="186">
        <v>5.94</v>
      </c>
      <c r="G928" s="186">
        <v>3.1710228539999998</v>
      </c>
    </row>
    <row r="929" spans="1:7" ht="14.4">
      <c r="A929" s="186">
        <v>928</v>
      </c>
      <c r="B929" s="186" t="s">
        <v>162</v>
      </c>
      <c r="C929" s="186" t="s">
        <v>1180</v>
      </c>
      <c r="D929" s="186">
        <v>8.1</v>
      </c>
      <c r="E929" s="186">
        <v>6.41</v>
      </c>
      <c r="F929" s="186">
        <v>5.95</v>
      </c>
      <c r="G929" s="186">
        <v>3.1770146750000001</v>
      </c>
    </row>
    <row r="930" spans="1:7" ht="14.4">
      <c r="A930" s="186">
        <v>929</v>
      </c>
      <c r="B930" s="186" t="s">
        <v>146</v>
      </c>
      <c r="C930" s="186" t="s">
        <v>1181</v>
      </c>
      <c r="D930" s="187">
        <v>1980</v>
      </c>
      <c r="E930" s="186">
        <v>6.32</v>
      </c>
      <c r="F930" s="186">
        <v>5.95</v>
      </c>
      <c r="G930" s="186">
        <v>3.1770146750000001</v>
      </c>
    </row>
    <row r="931" spans="1:7" ht="14.4">
      <c r="A931" s="186">
        <v>930</v>
      </c>
      <c r="B931" s="186" t="s">
        <v>213</v>
      </c>
      <c r="C931" s="186" t="s">
        <v>1182</v>
      </c>
      <c r="D931" s="186">
        <v>205.4</v>
      </c>
      <c r="E931" s="186">
        <v>6.23</v>
      </c>
      <c r="F931" s="186">
        <v>5.95</v>
      </c>
      <c r="G931" s="186">
        <v>3.1770146750000001</v>
      </c>
    </row>
    <row r="932" spans="1:7" ht="14.4">
      <c r="A932" s="186">
        <v>931</v>
      </c>
      <c r="B932" s="186" t="s">
        <v>175</v>
      </c>
      <c r="C932" s="186" t="s">
        <v>1183</v>
      </c>
      <c r="D932" s="186">
        <v>51.7</v>
      </c>
      <c r="E932" s="186">
        <v>5.82</v>
      </c>
      <c r="F932" s="186">
        <v>5.96</v>
      </c>
      <c r="G932" s="186">
        <v>3.183017252</v>
      </c>
    </row>
    <row r="933" spans="1:7" ht="14.4">
      <c r="A933" s="186">
        <v>932</v>
      </c>
      <c r="B933" s="186" t="s">
        <v>415</v>
      </c>
      <c r="C933" s="186" t="s">
        <v>1184</v>
      </c>
      <c r="D933" s="187">
        <v>5163.2</v>
      </c>
      <c r="E933" s="186">
        <v>5.99</v>
      </c>
      <c r="F933" s="186">
        <v>5.96</v>
      </c>
      <c r="G933" s="186">
        <v>3.183017252</v>
      </c>
    </row>
    <row r="934" spans="1:7" ht="14.4">
      <c r="A934" s="186">
        <v>933</v>
      </c>
      <c r="B934" s="186" t="s">
        <v>1185</v>
      </c>
      <c r="C934" s="186" t="s">
        <v>1186</v>
      </c>
      <c r="D934" s="186">
        <v>591.20000000000005</v>
      </c>
      <c r="E934" s="186">
        <v>6.24</v>
      </c>
      <c r="F934" s="186">
        <v>5.96</v>
      </c>
      <c r="G934" s="186">
        <v>3.183017252</v>
      </c>
    </row>
    <row r="935" spans="1:7" ht="14.4">
      <c r="A935" s="186">
        <v>934</v>
      </c>
      <c r="B935" s="186" t="s">
        <v>138</v>
      </c>
      <c r="C935" s="186" t="s">
        <v>1187</v>
      </c>
      <c r="D935" s="186">
        <v>99.5</v>
      </c>
      <c r="E935" s="186">
        <v>6.47</v>
      </c>
      <c r="F935" s="186">
        <v>5.97</v>
      </c>
      <c r="G935" s="186">
        <v>3.1890306019999999</v>
      </c>
    </row>
    <row r="936" spans="1:7" ht="14.4">
      <c r="A936" s="186">
        <v>935</v>
      </c>
      <c r="B936" s="186" t="s">
        <v>483</v>
      </c>
      <c r="C936" s="186" t="s">
        <v>1188</v>
      </c>
      <c r="D936" s="186">
        <v>57.2</v>
      </c>
      <c r="E936" s="186">
        <v>5.81</v>
      </c>
      <c r="F936" s="186">
        <v>5.97</v>
      </c>
      <c r="G936" s="186">
        <v>3.1890306019999999</v>
      </c>
    </row>
    <row r="937" spans="1:7" ht="14.4">
      <c r="A937" s="186">
        <v>936</v>
      </c>
      <c r="B937" s="186" t="s">
        <v>175</v>
      </c>
      <c r="C937" s="186" t="s">
        <v>1189</v>
      </c>
      <c r="D937" s="186">
        <v>777.7</v>
      </c>
      <c r="E937" s="186">
        <v>6.06</v>
      </c>
      <c r="F937" s="186">
        <v>5.97</v>
      </c>
      <c r="G937" s="186">
        <v>3.1890306019999999</v>
      </c>
    </row>
    <row r="938" spans="1:7" ht="14.4">
      <c r="A938" s="186">
        <v>937</v>
      </c>
      <c r="B938" s="186" t="s">
        <v>175</v>
      </c>
      <c r="C938" s="186" t="s">
        <v>1190</v>
      </c>
      <c r="D938" s="186">
        <v>9.9</v>
      </c>
      <c r="E938" s="186">
        <v>5.79</v>
      </c>
      <c r="F938" s="186">
        <v>5.97</v>
      </c>
      <c r="G938" s="186">
        <v>3.1890306019999999</v>
      </c>
    </row>
    <row r="939" spans="1:7" ht="14.4">
      <c r="A939" s="186">
        <v>938</v>
      </c>
      <c r="B939" s="186" t="s">
        <v>373</v>
      </c>
      <c r="C939" s="186" t="s">
        <v>1191</v>
      </c>
      <c r="D939" s="186">
        <v>42.6</v>
      </c>
      <c r="E939" s="186">
        <v>6.34</v>
      </c>
      <c r="F939" s="186">
        <v>5.97</v>
      </c>
      <c r="G939" s="186">
        <v>3.1890306019999999</v>
      </c>
    </row>
    <row r="940" spans="1:7" ht="14.4">
      <c r="A940" s="186">
        <v>939</v>
      </c>
      <c r="B940" s="186" t="s">
        <v>210</v>
      </c>
      <c r="C940" s="186" t="s">
        <v>1192</v>
      </c>
      <c r="D940" s="186">
        <v>272.3</v>
      </c>
      <c r="E940" s="186">
        <v>6.21</v>
      </c>
      <c r="F940" s="186">
        <v>5.97</v>
      </c>
      <c r="G940" s="186">
        <v>3.1890306019999999</v>
      </c>
    </row>
    <row r="941" spans="1:7" ht="14.4">
      <c r="A941" s="186">
        <v>940</v>
      </c>
      <c r="B941" s="186" t="s">
        <v>488</v>
      </c>
      <c r="C941" s="186" t="s">
        <v>1193</v>
      </c>
      <c r="D941" s="187">
        <v>1161.5999999999999</v>
      </c>
      <c r="E941" s="186">
        <v>6.35</v>
      </c>
      <c r="F941" s="186">
        <v>5.97</v>
      </c>
      <c r="G941" s="186">
        <v>3.1890306019999999</v>
      </c>
    </row>
    <row r="942" spans="1:7" ht="14.4">
      <c r="A942" s="186">
        <v>941</v>
      </c>
      <c r="B942" s="186" t="s">
        <v>335</v>
      </c>
      <c r="C942" s="186" t="s">
        <v>1194</v>
      </c>
      <c r="D942" s="186">
        <v>141.30000000000001</v>
      </c>
      <c r="E942" s="186">
        <v>6.3</v>
      </c>
      <c r="F942" s="186">
        <v>5.97</v>
      </c>
      <c r="G942" s="186">
        <v>3.1890306019999999</v>
      </c>
    </row>
    <row r="943" spans="1:7" ht="14.4">
      <c r="A943" s="186">
        <v>942</v>
      </c>
      <c r="B943" s="186" t="s">
        <v>1195</v>
      </c>
      <c r="C943" s="186" t="s">
        <v>1196</v>
      </c>
      <c r="D943" s="186">
        <v>18</v>
      </c>
      <c r="E943" s="186">
        <v>6.23</v>
      </c>
      <c r="F943" s="186">
        <v>5.97</v>
      </c>
      <c r="G943" s="186">
        <v>3.1890306019999999</v>
      </c>
    </row>
    <row r="944" spans="1:7" ht="14.4">
      <c r="A944" s="186">
        <v>943</v>
      </c>
      <c r="B944" s="186" t="s">
        <v>162</v>
      </c>
      <c r="C944" s="186" t="s">
        <v>1197</v>
      </c>
      <c r="D944" s="186">
        <v>54.9</v>
      </c>
      <c r="E944" s="186">
        <v>6.33</v>
      </c>
      <c r="F944" s="186">
        <v>5.98</v>
      </c>
      <c r="G944" s="186">
        <v>3.195054743</v>
      </c>
    </row>
    <row r="945" spans="1:7" ht="14.4">
      <c r="A945" s="186">
        <v>944</v>
      </c>
      <c r="B945" s="186" t="s">
        <v>162</v>
      </c>
      <c r="C945" s="186" t="s">
        <v>1198</v>
      </c>
      <c r="D945" s="186">
        <v>115.2</v>
      </c>
      <c r="E945" s="186">
        <v>6.57</v>
      </c>
      <c r="F945" s="186">
        <v>5.98</v>
      </c>
      <c r="G945" s="186">
        <v>3.195054743</v>
      </c>
    </row>
    <row r="946" spans="1:7" ht="14.4">
      <c r="A946" s="186">
        <v>945</v>
      </c>
      <c r="B946" s="186" t="s">
        <v>898</v>
      </c>
      <c r="C946" s="186" t="s">
        <v>1199</v>
      </c>
      <c r="D946" s="186">
        <v>157.4</v>
      </c>
      <c r="E946" s="186">
        <v>6.3</v>
      </c>
      <c r="F946" s="186">
        <v>5.98</v>
      </c>
      <c r="G946" s="186">
        <v>3.195054743</v>
      </c>
    </row>
    <row r="947" spans="1:7" ht="14.4">
      <c r="A947" s="186">
        <v>946</v>
      </c>
      <c r="B947" s="186" t="s">
        <v>303</v>
      </c>
      <c r="C947" s="186" t="s">
        <v>1200</v>
      </c>
      <c r="D947" s="186">
        <v>47.7</v>
      </c>
      <c r="E947" s="186">
        <v>6.15</v>
      </c>
      <c r="F947" s="186">
        <v>5.98</v>
      </c>
      <c r="G947" s="186">
        <v>3.195054743</v>
      </c>
    </row>
    <row r="948" spans="1:7" ht="14.4">
      <c r="A948" s="186">
        <v>947</v>
      </c>
      <c r="B948" s="186" t="s">
        <v>175</v>
      </c>
      <c r="C948" s="186" t="s">
        <v>1201</v>
      </c>
      <c r="D948" s="186">
        <v>414.4</v>
      </c>
      <c r="E948" s="186">
        <v>5.94</v>
      </c>
      <c r="F948" s="186">
        <v>5.98</v>
      </c>
      <c r="G948" s="186">
        <v>3.195054743</v>
      </c>
    </row>
    <row r="949" spans="1:7" ht="14.4">
      <c r="A949" s="186">
        <v>948</v>
      </c>
      <c r="B949" s="186" t="s">
        <v>153</v>
      </c>
      <c r="C949" s="186" t="s">
        <v>1202</v>
      </c>
      <c r="D949" s="186">
        <v>188.7</v>
      </c>
      <c r="E949" s="186">
        <v>5.98</v>
      </c>
      <c r="F949" s="186">
        <v>5.98</v>
      </c>
      <c r="G949" s="186">
        <v>3.195054743</v>
      </c>
    </row>
    <row r="950" spans="1:7" ht="14.4">
      <c r="A950" s="186">
        <v>949</v>
      </c>
      <c r="B950" s="186" t="s">
        <v>210</v>
      </c>
      <c r="C950" s="186" t="s">
        <v>1203</v>
      </c>
      <c r="D950" s="187">
        <v>1377.4</v>
      </c>
      <c r="E950" s="186">
        <v>6.26</v>
      </c>
      <c r="F950" s="186">
        <v>5.98</v>
      </c>
      <c r="G950" s="186">
        <v>3.195054743</v>
      </c>
    </row>
    <row r="951" spans="1:7" ht="14.4">
      <c r="A951" s="186">
        <v>950</v>
      </c>
      <c r="B951" s="186" t="s">
        <v>941</v>
      </c>
      <c r="C951" s="186" t="s">
        <v>1204</v>
      </c>
      <c r="D951" s="186">
        <v>192.7</v>
      </c>
      <c r="E951" s="186">
        <v>6.05</v>
      </c>
      <c r="F951" s="186">
        <v>5.98</v>
      </c>
      <c r="G951" s="186">
        <v>3.195054743</v>
      </c>
    </row>
    <row r="952" spans="1:7" ht="14.4">
      <c r="A952" s="186">
        <v>951</v>
      </c>
      <c r="B952" s="186" t="s">
        <v>162</v>
      </c>
      <c r="C952" s="186" t="s">
        <v>1205</v>
      </c>
      <c r="D952" s="186">
        <v>40</v>
      </c>
      <c r="E952" s="186">
        <v>6.22</v>
      </c>
      <c r="F952" s="186">
        <v>5.99</v>
      </c>
      <c r="G952" s="186">
        <v>3.2010896930000001</v>
      </c>
    </row>
    <row r="953" spans="1:7" ht="14.4">
      <c r="A953" s="186">
        <v>952</v>
      </c>
      <c r="B953" s="186" t="s">
        <v>175</v>
      </c>
      <c r="C953" s="186" t="s">
        <v>1206</v>
      </c>
      <c r="D953" s="186">
        <v>33.4</v>
      </c>
      <c r="E953" s="186">
        <v>5.73</v>
      </c>
      <c r="F953" s="186">
        <v>5.99</v>
      </c>
      <c r="G953" s="186">
        <v>3.2010896930000001</v>
      </c>
    </row>
    <row r="954" spans="1:7" ht="14.4">
      <c r="A954" s="186">
        <v>953</v>
      </c>
      <c r="B954" s="186" t="s">
        <v>477</v>
      </c>
      <c r="C954" s="186" t="s">
        <v>1207</v>
      </c>
      <c r="D954" s="186">
        <v>49.1</v>
      </c>
      <c r="E954" s="186">
        <v>6.32</v>
      </c>
      <c r="F954" s="186">
        <v>5.99</v>
      </c>
      <c r="G954" s="186">
        <v>3.2010896930000001</v>
      </c>
    </row>
    <row r="955" spans="1:7" ht="14.4">
      <c r="A955" s="186">
        <v>954</v>
      </c>
      <c r="B955" s="186" t="s">
        <v>112</v>
      </c>
      <c r="C955" s="186" t="s">
        <v>1208</v>
      </c>
      <c r="D955" s="187">
        <v>1159.9000000000001</v>
      </c>
      <c r="E955" s="186">
        <v>6.35</v>
      </c>
      <c r="F955" s="186">
        <v>6</v>
      </c>
      <c r="G955" s="186">
        <v>3.207135472</v>
      </c>
    </row>
    <row r="956" spans="1:7" ht="14.4">
      <c r="A956" s="186">
        <v>955</v>
      </c>
      <c r="B956" s="186" t="s">
        <v>271</v>
      </c>
      <c r="C956" s="186" t="s">
        <v>1209</v>
      </c>
      <c r="D956" s="186">
        <v>17.899999999999999</v>
      </c>
      <c r="E956" s="186">
        <v>5.85</v>
      </c>
      <c r="F956" s="186">
        <v>6</v>
      </c>
      <c r="G956" s="186">
        <v>3.207135472</v>
      </c>
    </row>
    <row r="957" spans="1:7" ht="14.4">
      <c r="A957" s="186">
        <v>956</v>
      </c>
      <c r="B957" s="186" t="s">
        <v>1008</v>
      </c>
      <c r="C957" s="186" t="s">
        <v>1210</v>
      </c>
      <c r="D957" s="186">
        <v>309.10000000000002</v>
      </c>
      <c r="E957" s="186">
        <v>6.22</v>
      </c>
      <c r="F957" s="186">
        <v>6</v>
      </c>
      <c r="G957" s="186">
        <v>3.207135472</v>
      </c>
    </row>
    <row r="958" spans="1:7" ht="14.4">
      <c r="A958" s="186">
        <v>957</v>
      </c>
      <c r="B958" s="186" t="s">
        <v>1008</v>
      </c>
      <c r="C958" s="186" t="s">
        <v>1211</v>
      </c>
      <c r="D958" s="186">
        <v>0.8</v>
      </c>
      <c r="E958" s="186">
        <v>5.9</v>
      </c>
      <c r="F958" s="186">
        <v>6</v>
      </c>
      <c r="G958" s="186">
        <v>3.207135472</v>
      </c>
    </row>
    <row r="959" spans="1:7" ht="14.4">
      <c r="A959" s="186">
        <v>958</v>
      </c>
      <c r="B959" s="186" t="s">
        <v>213</v>
      </c>
      <c r="C959" s="186" t="s">
        <v>1212</v>
      </c>
      <c r="D959" s="186">
        <v>1.9</v>
      </c>
      <c r="E959" s="186">
        <v>6.33</v>
      </c>
      <c r="F959" s="186">
        <v>6</v>
      </c>
      <c r="G959" s="186">
        <v>3.207135472</v>
      </c>
    </row>
    <row r="960" spans="1:7" ht="14.4">
      <c r="A960" s="186">
        <v>959</v>
      </c>
      <c r="B960" s="186" t="s">
        <v>280</v>
      </c>
      <c r="C960" s="186" t="s">
        <v>1213</v>
      </c>
      <c r="D960" s="186">
        <v>27.5</v>
      </c>
      <c r="E960" s="186">
        <v>6.59</v>
      </c>
      <c r="F960" s="186">
        <v>6</v>
      </c>
      <c r="G960" s="186">
        <v>3.207135472</v>
      </c>
    </row>
    <row r="961" spans="1:7" ht="14.4">
      <c r="A961" s="186">
        <v>960</v>
      </c>
      <c r="B961" s="186" t="s">
        <v>547</v>
      </c>
      <c r="C961" s="186" t="s">
        <v>1214</v>
      </c>
      <c r="D961" s="186">
        <v>286.5</v>
      </c>
      <c r="E961" s="186">
        <v>5.83</v>
      </c>
      <c r="F961" s="186">
        <v>6</v>
      </c>
      <c r="G961" s="186">
        <v>3.207135472</v>
      </c>
    </row>
    <row r="962" spans="1:7" ht="14.4">
      <c r="A962" s="186">
        <v>961</v>
      </c>
      <c r="B962" s="186" t="s">
        <v>1215</v>
      </c>
      <c r="C962" s="186" t="s">
        <v>1216</v>
      </c>
      <c r="D962" s="186">
        <v>6.3</v>
      </c>
      <c r="E962" s="186">
        <v>6.38</v>
      </c>
      <c r="F962" s="186">
        <v>6</v>
      </c>
      <c r="G962" s="186">
        <v>3.207135472</v>
      </c>
    </row>
    <row r="963" spans="1:7" ht="14.4">
      <c r="A963" s="186">
        <v>962</v>
      </c>
      <c r="B963" s="186" t="s">
        <v>483</v>
      </c>
      <c r="C963" s="186" t="s">
        <v>1217</v>
      </c>
      <c r="D963" s="187">
        <v>9343.1</v>
      </c>
      <c r="E963" s="186">
        <v>5.84</v>
      </c>
      <c r="F963" s="186">
        <v>6.01</v>
      </c>
      <c r="G963" s="186">
        <v>3.2131920979999999</v>
      </c>
    </row>
    <row r="964" spans="1:7" ht="14.4">
      <c r="A964" s="186">
        <v>963</v>
      </c>
      <c r="B964" s="186" t="s">
        <v>286</v>
      </c>
      <c r="C964" s="186" t="s">
        <v>1218</v>
      </c>
      <c r="D964" s="186">
        <v>24.8</v>
      </c>
      <c r="E964" s="186">
        <v>6.28</v>
      </c>
      <c r="F964" s="186">
        <v>6.01</v>
      </c>
      <c r="G964" s="186">
        <v>3.2131920979999999</v>
      </c>
    </row>
    <row r="965" spans="1:7" ht="14.4">
      <c r="A965" s="186">
        <v>964</v>
      </c>
      <c r="B965" s="186" t="s">
        <v>175</v>
      </c>
      <c r="C965" s="186" t="s">
        <v>1219</v>
      </c>
      <c r="D965" s="186">
        <v>277.8</v>
      </c>
      <c r="E965" s="186">
        <v>5.82</v>
      </c>
      <c r="F965" s="186">
        <v>6.01</v>
      </c>
      <c r="G965" s="186">
        <v>3.2131920979999999</v>
      </c>
    </row>
    <row r="966" spans="1:7" ht="14.4">
      <c r="A966" s="186">
        <v>965</v>
      </c>
      <c r="B966" s="186" t="s">
        <v>153</v>
      </c>
      <c r="C966" s="186" t="s">
        <v>1220</v>
      </c>
      <c r="D966" s="187">
        <v>6084.2</v>
      </c>
      <c r="E966" s="186">
        <v>6.29</v>
      </c>
      <c r="F966" s="186">
        <v>6.01</v>
      </c>
      <c r="G966" s="186">
        <v>3.2131920979999999</v>
      </c>
    </row>
    <row r="967" spans="1:7" ht="14.4">
      <c r="A967" s="186">
        <v>966</v>
      </c>
      <c r="B967" s="186" t="s">
        <v>226</v>
      </c>
      <c r="C967" s="186" t="s">
        <v>1221</v>
      </c>
      <c r="D967" s="186">
        <v>112.9</v>
      </c>
      <c r="E967" s="186">
        <v>5.45</v>
      </c>
      <c r="F967" s="186">
        <v>6.01</v>
      </c>
      <c r="G967" s="186">
        <v>3.2131920979999999</v>
      </c>
    </row>
    <row r="968" spans="1:7" ht="14.4">
      <c r="A968" s="186">
        <v>967</v>
      </c>
      <c r="B968" s="186" t="s">
        <v>454</v>
      </c>
      <c r="C968" s="186" t="s">
        <v>1222</v>
      </c>
      <c r="D968" s="186">
        <v>198.5</v>
      </c>
      <c r="E968" s="186">
        <v>6.42</v>
      </c>
      <c r="F968" s="186">
        <v>6.01</v>
      </c>
      <c r="G968" s="186">
        <v>3.2131920979999999</v>
      </c>
    </row>
    <row r="969" spans="1:7" ht="14.4">
      <c r="A969" s="186">
        <v>968</v>
      </c>
      <c r="B969" s="186" t="s">
        <v>164</v>
      </c>
      <c r="C969" s="186" t="s">
        <v>1223</v>
      </c>
      <c r="D969" s="186">
        <v>5.7</v>
      </c>
      <c r="E969" s="186">
        <v>6.34</v>
      </c>
      <c r="F969" s="186">
        <v>6.01</v>
      </c>
      <c r="G969" s="186">
        <v>3.2131920979999999</v>
      </c>
    </row>
    <row r="970" spans="1:7" ht="14.4">
      <c r="A970" s="186">
        <v>969</v>
      </c>
      <c r="B970" s="186" t="s">
        <v>210</v>
      </c>
      <c r="C970" s="186" t="s">
        <v>1224</v>
      </c>
      <c r="D970" s="186">
        <v>8.1</v>
      </c>
      <c r="E970" s="186">
        <v>6.34</v>
      </c>
      <c r="F970" s="186">
        <v>6.01</v>
      </c>
      <c r="G970" s="186">
        <v>3.2131920979999999</v>
      </c>
    </row>
    <row r="971" spans="1:7" ht="14.4">
      <c r="A971" s="186">
        <v>970</v>
      </c>
      <c r="B971" s="186" t="s">
        <v>263</v>
      </c>
      <c r="C971" s="186" t="s">
        <v>1225</v>
      </c>
      <c r="D971" s="187">
        <v>11002.9</v>
      </c>
      <c r="E971" s="186">
        <v>5.77</v>
      </c>
      <c r="F971" s="186">
        <v>6.02</v>
      </c>
      <c r="G971" s="186">
        <v>3.2192595879999999</v>
      </c>
    </row>
    <row r="972" spans="1:7" ht="14.4">
      <c r="A972" s="186">
        <v>971</v>
      </c>
      <c r="B972" s="186" t="s">
        <v>415</v>
      </c>
      <c r="C972" s="186" t="s">
        <v>1226</v>
      </c>
      <c r="D972" s="186">
        <v>859.5</v>
      </c>
      <c r="E972" s="186">
        <v>6.3</v>
      </c>
      <c r="F972" s="186">
        <v>6.02</v>
      </c>
      <c r="G972" s="186">
        <v>3.2192595879999999</v>
      </c>
    </row>
    <row r="973" spans="1:7" ht="14.4">
      <c r="A973" s="186">
        <v>972</v>
      </c>
      <c r="B973" s="186" t="s">
        <v>138</v>
      </c>
      <c r="C973" s="186" t="s">
        <v>1227</v>
      </c>
      <c r="D973" s="186">
        <v>72</v>
      </c>
      <c r="E973" s="186">
        <v>6.11</v>
      </c>
      <c r="F973" s="186">
        <v>6.03</v>
      </c>
      <c r="G973" s="186">
        <v>3.2253379610000001</v>
      </c>
    </row>
    <row r="974" spans="1:7" ht="14.4">
      <c r="A974" s="186">
        <v>973</v>
      </c>
      <c r="B974" s="186" t="s">
        <v>1228</v>
      </c>
      <c r="C974" s="186" t="s">
        <v>1229</v>
      </c>
      <c r="D974" s="187">
        <v>2602.8000000000002</v>
      </c>
      <c r="E974" s="186">
        <v>6.01</v>
      </c>
      <c r="F974" s="186">
        <v>6.03</v>
      </c>
      <c r="G974" s="186">
        <v>3.2253379610000001</v>
      </c>
    </row>
    <row r="975" spans="1:7" ht="14.4">
      <c r="A975" s="186">
        <v>974</v>
      </c>
      <c r="B975" s="186" t="s">
        <v>178</v>
      </c>
      <c r="C975" s="186" t="s">
        <v>1230</v>
      </c>
      <c r="D975" s="186">
        <v>377.4</v>
      </c>
      <c r="E975" s="186">
        <v>6.16</v>
      </c>
      <c r="F975" s="186">
        <v>6.03</v>
      </c>
      <c r="G975" s="186">
        <v>3.2253379610000001</v>
      </c>
    </row>
    <row r="976" spans="1:7" ht="14.4">
      <c r="A976" s="186">
        <v>975</v>
      </c>
      <c r="B976" s="186" t="s">
        <v>288</v>
      </c>
      <c r="C976" s="186" t="s">
        <v>1231</v>
      </c>
      <c r="D976" s="186">
        <v>235.9</v>
      </c>
      <c r="E976" s="186">
        <v>6.3</v>
      </c>
      <c r="F976" s="186">
        <v>6.03</v>
      </c>
      <c r="G976" s="186">
        <v>3.2253379610000001</v>
      </c>
    </row>
    <row r="977" spans="1:7" ht="14.4">
      <c r="A977" s="186">
        <v>976</v>
      </c>
      <c r="B977" s="186" t="s">
        <v>941</v>
      </c>
      <c r="C977" s="186" t="s">
        <v>1232</v>
      </c>
      <c r="D977" s="186">
        <v>238.3</v>
      </c>
      <c r="E977" s="186">
        <v>6.09</v>
      </c>
      <c r="F977" s="186">
        <v>6.03</v>
      </c>
      <c r="G977" s="186">
        <v>3.2253379610000001</v>
      </c>
    </row>
    <row r="978" spans="1:7" ht="14.4">
      <c r="A978" s="186">
        <v>977</v>
      </c>
      <c r="B978" s="186" t="s">
        <v>348</v>
      </c>
      <c r="C978" s="186" t="s">
        <v>1233</v>
      </c>
      <c r="D978" s="187">
        <v>5627</v>
      </c>
      <c r="E978" s="186">
        <v>6.38</v>
      </c>
      <c r="F978" s="186">
        <v>6.03</v>
      </c>
      <c r="G978" s="186">
        <v>3.2253379610000001</v>
      </c>
    </row>
    <row r="979" spans="1:7" ht="14.4">
      <c r="A979" s="186">
        <v>978</v>
      </c>
      <c r="B979" s="186" t="s">
        <v>488</v>
      </c>
      <c r="C979" s="186" t="s">
        <v>1234</v>
      </c>
      <c r="D979" s="186">
        <v>12.5</v>
      </c>
      <c r="E979" s="186">
        <v>6.28</v>
      </c>
      <c r="F979" s="186">
        <v>6.03</v>
      </c>
      <c r="G979" s="186">
        <v>3.2253379610000001</v>
      </c>
    </row>
    <row r="980" spans="1:7" ht="14.4">
      <c r="A980" s="186">
        <v>979</v>
      </c>
      <c r="B980" s="186" t="s">
        <v>148</v>
      </c>
      <c r="C980" s="186" t="s">
        <v>1235</v>
      </c>
      <c r="D980" s="186">
        <v>41.9</v>
      </c>
      <c r="E980" s="186">
        <v>6.1</v>
      </c>
      <c r="F980" s="186">
        <v>6.04</v>
      </c>
      <c r="G980" s="186">
        <v>3.2314272370000001</v>
      </c>
    </row>
    <row r="981" spans="1:7" ht="14.4">
      <c r="A981" s="186">
        <v>980</v>
      </c>
      <c r="B981" s="186" t="s">
        <v>288</v>
      </c>
      <c r="C981" s="186" t="s">
        <v>1236</v>
      </c>
      <c r="D981" s="186">
        <v>33</v>
      </c>
      <c r="E981" s="186">
        <v>6.31</v>
      </c>
      <c r="F981" s="186">
        <v>6.04</v>
      </c>
      <c r="G981" s="186">
        <v>3.2314272370000001</v>
      </c>
    </row>
    <row r="982" spans="1:7" ht="14.4">
      <c r="A982" s="186">
        <v>981</v>
      </c>
      <c r="B982" s="186" t="s">
        <v>801</v>
      </c>
      <c r="C982" s="186" t="s">
        <v>1237</v>
      </c>
      <c r="D982" s="186">
        <v>90</v>
      </c>
      <c r="E982" s="186">
        <v>5.84</v>
      </c>
      <c r="F982" s="186">
        <v>6.04</v>
      </c>
      <c r="G982" s="186">
        <v>3.2314272370000001</v>
      </c>
    </row>
    <row r="983" spans="1:7" ht="14.4">
      <c r="A983" s="186">
        <v>982</v>
      </c>
      <c r="B983" s="186" t="s">
        <v>319</v>
      </c>
      <c r="C983" s="186" t="s">
        <v>1238</v>
      </c>
      <c r="D983" s="186">
        <v>3.9</v>
      </c>
      <c r="E983" s="186">
        <v>6.38</v>
      </c>
      <c r="F983" s="186">
        <v>6.04</v>
      </c>
      <c r="G983" s="186">
        <v>3.2314272370000001</v>
      </c>
    </row>
    <row r="984" spans="1:7" ht="14.4">
      <c r="A984" s="186">
        <v>983</v>
      </c>
      <c r="B984" s="186" t="s">
        <v>138</v>
      </c>
      <c r="C984" s="186" t="s">
        <v>1239</v>
      </c>
      <c r="D984" s="187">
        <v>2625.2</v>
      </c>
      <c r="E984" s="186">
        <v>6.3</v>
      </c>
      <c r="F984" s="186">
        <v>6.05</v>
      </c>
      <c r="G984" s="186">
        <v>3.2375274329999999</v>
      </c>
    </row>
    <row r="985" spans="1:7" ht="14.4">
      <c r="A985" s="186">
        <v>984</v>
      </c>
      <c r="B985" s="186" t="s">
        <v>162</v>
      </c>
      <c r="C985" s="186" t="s">
        <v>1240</v>
      </c>
      <c r="D985" s="186">
        <v>768.7</v>
      </c>
      <c r="E985" s="186">
        <v>6.4</v>
      </c>
      <c r="F985" s="186">
        <v>6.05</v>
      </c>
      <c r="G985" s="186">
        <v>3.2375274329999999</v>
      </c>
    </row>
    <row r="986" spans="1:7" ht="14.4">
      <c r="A986" s="186">
        <v>985</v>
      </c>
      <c r="B986" s="186" t="s">
        <v>138</v>
      </c>
      <c r="C986" s="186" t="s">
        <v>1241</v>
      </c>
      <c r="D986" s="186">
        <v>31.5</v>
      </c>
      <c r="E986" s="186">
        <v>6.46</v>
      </c>
      <c r="F986" s="186">
        <v>6.06</v>
      </c>
      <c r="G986" s="186">
        <v>3.2436385680000002</v>
      </c>
    </row>
    <row r="987" spans="1:7" ht="14.4">
      <c r="A987" s="186">
        <v>986</v>
      </c>
      <c r="B987" s="186" t="s">
        <v>178</v>
      </c>
      <c r="C987" s="186" t="s">
        <v>1242</v>
      </c>
      <c r="D987" s="186">
        <v>0.1</v>
      </c>
      <c r="E987" s="186">
        <v>6.18</v>
      </c>
      <c r="F987" s="186">
        <v>6.06</v>
      </c>
      <c r="G987" s="186">
        <v>3.2436385680000002</v>
      </c>
    </row>
    <row r="988" spans="1:7" ht="14.4">
      <c r="A988" s="186">
        <v>987</v>
      </c>
      <c r="B988" s="186" t="s">
        <v>241</v>
      </c>
      <c r="C988" s="186" t="s">
        <v>1243</v>
      </c>
      <c r="D988" s="186">
        <v>573.70000000000005</v>
      </c>
      <c r="E988" s="186">
        <v>6.38</v>
      </c>
      <c r="F988" s="186">
        <v>6.07</v>
      </c>
      <c r="G988" s="186">
        <v>3.2497606600000002</v>
      </c>
    </row>
    <row r="989" spans="1:7" ht="14.4">
      <c r="A989" s="186">
        <v>988</v>
      </c>
      <c r="B989" s="186" t="s">
        <v>175</v>
      </c>
      <c r="C989" s="186" t="s">
        <v>1244</v>
      </c>
      <c r="D989" s="186">
        <v>180.9</v>
      </c>
      <c r="E989" s="186">
        <v>6.21</v>
      </c>
      <c r="F989" s="186">
        <v>6.07</v>
      </c>
      <c r="G989" s="186">
        <v>3.2497606600000002</v>
      </c>
    </row>
    <row r="990" spans="1:7" ht="14.4">
      <c r="A990" s="186">
        <v>989</v>
      </c>
      <c r="B990" s="186" t="s">
        <v>153</v>
      </c>
      <c r="C990" s="186" t="s">
        <v>1245</v>
      </c>
      <c r="D990" s="187">
        <v>11756</v>
      </c>
      <c r="E990" s="186">
        <v>6.29</v>
      </c>
      <c r="F990" s="186">
        <v>6.07</v>
      </c>
      <c r="G990" s="186">
        <v>3.2497606600000002</v>
      </c>
    </row>
    <row r="991" spans="1:7" ht="14.4">
      <c r="A991" s="186">
        <v>990</v>
      </c>
      <c r="B991" s="186" t="s">
        <v>263</v>
      </c>
      <c r="C991" s="186" t="s">
        <v>1246</v>
      </c>
      <c r="D991" s="187">
        <v>4335.8999999999996</v>
      </c>
      <c r="E991" s="186">
        <v>5.93</v>
      </c>
      <c r="F991" s="186">
        <v>6.07</v>
      </c>
      <c r="G991" s="186">
        <v>3.2497606600000002</v>
      </c>
    </row>
    <row r="992" spans="1:7" ht="14.4">
      <c r="A992" s="186">
        <v>991</v>
      </c>
      <c r="B992" s="186" t="s">
        <v>210</v>
      </c>
      <c r="C992" s="186" t="s">
        <v>1247</v>
      </c>
      <c r="D992" s="187">
        <v>2493.3000000000002</v>
      </c>
      <c r="E992" s="186">
        <v>6.02</v>
      </c>
      <c r="F992" s="186">
        <v>6.07</v>
      </c>
      <c r="G992" s="186">
        <v>3.2497606600000002</v>
      </c>
    </row>
    <row r="993" spans="1:7" ht="14.4">
      <c r="A993" s="186">
        <v>992</v>
      </c>
      <c r="B993" s="186" t="s">
        <v>488</v>
      </c>
      <c r="C993" s="186" t="s">
        <v>1248</v>
      </c>
      <c r="D993" s="186">
        <v>81.400000000000006</v>
      </c>
      <c r="E993" s="186">
        <v>6.45</v>
      </c>
      <c r="F993" s="186">
        <v>6.07</v>
      </c>
      <c r="G993" s="186">
        <v>3.2497606600000002</v>
      </c>
    </row>
    <row r="994" spans="1:7" ht="14.4">
      <c r="A994" s="186">
        <v>993</v>
      </c>
      <c r="B994" s="186" t="s">
        <v>488</v>
      </c>
      <c r="C994" s="186" t="s">
        <v>1249</v>
      </c>
      <c r="D994" s="186">
        <v>13.1</v>
      </c>
      <c r="E994" s="186">
        <v>6.31</v>
      </c>
      <c r="F994" s="186">
        <v>6.07</v>
      </c>
      <c r="G994" s="186">
        <v>3.2497606600000002</v>
      </c>
    </row>
    <row r="995" spans="1:7" ht="14.4">
      <c r="A995" s="186">
        <v>994</v>
      </c>
      <c r="B995" s="186" t="s">
        <v>1250</v>
      </c>
      <c r="C995" s="186" t="s">
        <v>1251</v>
      </c>
      <c r="D995" s="186">
        <v>38.799999999999997</v>
      </c>
      <c r="E995" s="186">
        <v>6.34</v>
      </c>
      <c r="F995" s="186">
        <v>6.08</v>
      </c>
      <c r="G995" s="186">
        <v>3.2558937289999998</v>
      </c>
    </row>
    <row r="996" spans="1:7" ht="14.4">
      <c r="A996" s="186">
        <v>995</v>
      </c>
      <c r="B996" s="186" t="s">
        <v>271</v>
      </c>
      <c r="C996" s="186" t="s">
        <v>1252</v>
      </c>
      <c r="D996" s="186">
        <v>149.30000000000001</v>
      </c>
      <c r="E996" s="186">
        <v>6.11</v>
      </c>
      <c r="F996" s="186">
        <v>6.08</v>
      </c>
      <c r="G996" s="186">
        <v>3.2558937289999998</v>
      </c>
    </row>
    <row r="997" spans="1:7" ht="14.4">
      <c r="A997" s="186">
        <v>996</v>
      </c>
      <c r="B997" s="186" t="s">
        <v>1008</v>
      </c>
      <c r="C997" s="186" t="s">
        <v>1253</v>
      </c>
      <c r="D997" s="186">
        <v>18.899999999999999</v>
      </c>
      <c r="E997" s="186">
        <v>6.29</v>
      </c>
      <c r="F997" s="186">
        <v>6.08</v>
      </c>
      <c r="G997" s="186">
        <v>3.2558937289999998</v>
      </c>
    </row>
    <row r="998" spans="1:7" ht="14.4">
      <c r="A998" s="186">
        <v>997</v>
      </c>
      <c r="B998" s="186" t="s">
        <v>712</v>
      </c>
      <c r="C998" s="186" t="s">
        <v>1254</v>
      </c>
      <c r="D998" s="186">
        <v>35.799999999999997</v>
      </c>
      <c r="E998" s="186">
        <v>6.49</v>
      </c>
      <c r="F998" s="186">
        <v>6.08</v>
      </c>
      <c r="G998" s="186">
        <v>3.2558937289999998</v>
      </c>
    </row>
    <row r="999" spans="1:7" ht="14.4">
      <c r="A999" s="186">
        <v>998</v>
      </c>
      <c r="B999" s="186" t="s">
        <v>153</v>
      </c>
      <c r="C999" s="186" t="s">
        <v>1255</v>
      </c>
      <c r="D999" s="186">
        <v>7.4</v>
      </c>
      <c r="E999" s="186">
        <v>6.15</v>
      </c>
      <c r="F999" s="186">
        <v>6.08</v>
      </c>
      <c r="G999" s="186">
        <v>3.2558937289999998</v>
      </c>
    </row>
    <row r="1000" spans="1:7" ht="14.4">
      <c r="A1000" s="186">
        <v>999</v>
      </c>
      <c r="B1000" s="186" t="s">
        <v>153</v>
      </c>
      <c r="C1000" s="186" t="s">
        <v>1256</v>
      </c>
      <c r="D1000" s="187">
        <v>1913.9</v>
      </c>
      <c r="E1000" s="186">
        <v>6.36</v>
      </c>
      <c r="F1000" s="186">
        <v>6.08</v>
      </c>
      <c r="G1000" s="186">
        <v>3.2558937289999998</v>
      </c>
    </row>
    <row r="1001" spans="1:7" ht="14.4">
      <c r="A1001" s="186">
        <v>1000</v>
      </c>
      <c r="B1001" s="186" t="s">
        <v>153</v>
      </c>
      <c r="C1001" s="186" t="s">
        <v>1257</v>
      </c>
      <c r="D1001" s="187">
        <v>1268.3</v>
      </c>
      <c r="E1001" s="186">
        <v>6.14</v>
      </c>
      <c r="F1001" s="186">
        <v>6.08</v>
      </c>
      <c r="G1001" s="186">
        <v>3.2558937289999998</v>
      </c>
    </row>
    <row r="1002" spans="1:7" ht="14.4">
      <c r="A1002" s="186">
        <v>1001</v>
      </c>
      <c r="B1002" s="186" t="s">
        <v>133</v>
      </c>
      <c r="C1002" s="186" t="s">
        <v>1258</v>
      </c>
      <c r="D1002" s="186">
        <v>150.80000000000001</v>
      </c>
      <c r="E1002" s="186">
        <v>6.25</v>
      </c>
      <c r="F1002" s="186">
        <v>6.08</v>
      </c>
      <c r="G1002" s="186">
        <v>3.2558937289999998</v>
      </c>
    </row>
    <row r="1003" spans="1:7" ht="14.4">
      <c r="A1003" s="186">
        <v>1002</v>
      </c>
      <c r="B1003" s="186" t="s">
        <v>579</v>
      </c>
      <c r="C1003" s="186" t="s">
        <v>1259</v>
      </c>
      <c r="D1003" s="186">
        <v>230.6</v>
      </c>
      <c r="E1003" s="186">
        <v>6.8</v>
      </c>
      <c r="F1003" s="186">
        <v>6.08</v>
      </c>
      <c r="G1003" s="186">
        <v>3.2558937289999998</v>
      </c>
    </row>
    <row r="1004" spans="1:7" ht="14.4">
      <c r="A1004" s="186">
        <v>1003</v>
      </c>
      <c r="B1004" s="186" t="s">
        <v>213</v>
      </c>
      <c r="C1004" s="186" t="s">
        <v>1260</v>
      </c>
      <c r="D1004" s="186">
        <v>31.1</v>
      </c>
      <c r="E1004" s="186">
        <v>6.31</v>
      </c>
      <c r="F1004" s="186">
        <v>6.08</v>
      </c>
      <c r="G1004" s="186">
        <v>3.2558937289999998</v>
      </c>
    </row>
    <row r="1005" spans="1:7" ht="14.4">
      <c r="A1005" s="186">
        <v>1004</v>
      </c>
      <c r="B1005" s="186" t="s">
        <v>1261</v>
      </c>
      <c r="C1005" s="186" t="s">
        <v>1262</v>
      </c>
      <c r="D1005" s="186">
        <v>69.400000000000006</v>
      </c>
      <c r="E1005" s="186">
        <v>6.39</v>
      </c>
      <c r="F1005" s="186">
        <v>6.08</v>
      </c>
      <c r="G1005" s="186">
        <v>3.2558937289999998</v>
      </c>
    </row>
    <row r="1006" spans="1:7" ht="14.4">
      <c r="A1006" s="186">
        <v>1005</v>
      </c>
      <c r="B1006" s="186" t="s">
        <v>948</v>
      </c>
      <c r="C1006" s="186" t="s">
        <v>1263</v>
      </c>
      <c r="D1006" s="186">
        <v>0.9</v>
      </c>
      <c r="E1006" s="186">
        <v>6.36</v>
      </c>
      <c r="F1006" s="186">
        <v>6.08</v>
      </c>
      <c r="G1006" s="186">
        <v>3.2558937289999998</v>
      </c>
    </row>
    <row r="1007" spans="1:7" ht="14.4">
      <c r="A1007" s="186">
        <v>1006</v>
      </c>
      <c r="B1007" s="186" t="s">
        <v>340</v>
      </c>
      <c r="C1007" s="186" t="s">
        <v>1264</v>
      </c>
      <c r="D1007" s="186">
        <v>232.8</v>
      </c>
      <c r="E1007" s="186">
        <v>5.49</v>
      </c>
      <c r="F1007" s="186">
        <v>6.08</v>
      </c>
      <c r="G1007" s="186">
        <v>3.2558937289999998</v>
      </c>
    </row>
    <row r="1008" spans="1:7" ht="14.4">
      <c r="A1008" s="186">
        <v>1007</v>
      </c>
      <c r="B1008" s="186" t="s">
        <v>178</v>
      </c>
      <c r="C1008" s="186" t="s">
        <v>1265</v>
      </c>
      <c r="D1008" s="186">
        <v>0.1</v>
      </c>
      <c r="E1008" s="186">
        <v>6.33</v>
      </c>
      <c r="F1008" s="186">
        <v>6.09</v>
      </c>
      <c r="G1008" s="186">
        <v>3.2620377920000001</v>
      </c>
    </row>
    <row r="1009" spans="1:7" ht="14.4">
      <c r="A1009" s="186">
        <v>1008</v>
      </c>
      <c r="B1009" s="186" t="s">
        <v>175</v>
      </c>
      <c r="C1009" s="186" t="s">
        <v>1266</v>
      </c>
      <c r="D1009" s="186">
        <v>30.1</v>
      </c>
      <c r="E1009" s="186">
        <v>5.79</v>
      </c>
      <c r="F1009" s="186">
        <v>6.09</v>
      </c>
      <c r="G1009" s="186">
        <v>3.2620377920000001</v>
      </c>
    </row>
    <row r="1010" spans="1:7" ht="14.4">
      <c r="A1010" s="186">
        <v>1009</v>
      </c>
      <c r="B1010" s="186" t="s">
        <v>335</v>
      </c>
      <c r="C1010" s="186" t="s">
        <v>1267</v>
      </c>
      <c r="D1010" s="186">
        <v>187.8</v>
      </c>
      <c r="E1010" s="186">
        <v>6.43</v>
      </c>
      <c r="F1010" s="186">
        <v>6.09</v>
      </c>
      <c r="G1010" s="186">
        <v>3.2620377920000001</v>
      </c>
    </row>
    <row r="1011" spans="1:7" ht="14.4">
      <c r="A1011" s="186">
        <v>1010</v>
      </c>
      <c r="B1011" s="186" t="s">
        <v>311</v>
      </c>
      <c r="C1011" s="186" t="s">
        <v>1268</v>
      </c>
      <c r="D1011" s="187">
        <v>1197.3</v>
      </c>
      <c r="E1011" s="186">
        <v>6.41</v>
      </c>
      <c r="F1011" s="186">
        <v>6.09</v>
      </c>
      <c r="G1011" s="186">
        <v>3.2620377920000001</v>
      </c>
    </row>
    <row r="1012" spans="1:7" ht="14.4">
      <c r="A1012" s="186">
        <v>1011</v>
      </c>
      <c r="B1012" s="186" t="s">
        <v>547</v>
      </c>
      <c r="C1012" s="186" t="s">
        <v>1269</v>
      </c>
      <c r="D1012" s="186">
        <v>114</v>
      </c>
      <c r="E1012" s="186">
        <v>5.93</v>
      </c>
      <c r="F1012" s="186">
        <v>6.09</v>
      </c>
      <c r="G1012" s="186">
        <v>3.2620377920000001</v>
      </c>
    </row>
    <row r="1013" spans="1:7" ht="14.4">
      <c r="A1013" s="186">
        <v>1012</v>
      </c>
      <c r="B1013" s="186" t="s">
        <v>241</v>
      </c>
      <c r="C1013" s="186" t="s">
        <v>1270</v>
      </c>
      <c r="D1013" s="186">
        <v>14.9</v>
      </c>
      <c r="E1013" s="186">
        <v>6.47</v>
      </c>
      <c r="F1013" s="186">
        <v>6.1</v>
      </c>
      <c r="G1013" s="186">
        <v>3.2681928689999999</v>
      </c>
    </row>
    <row r="1014" spans="1:7" ht="14.4">
      <c r="A1014" s="186">
        <v>1013</v>
      </c>
      <c r="B1014" s="186" t="s">
        <v>175</v>
      </c>
      <c r="C1014" s="186" t="s">
        <v>1271</v>
      </c>
      <c r="D1014" s="186">
        <v>3.2</v>
      </c>
      <c r="E1014" s="186">
        <v>6.21</v>
      </c>
      <c r="F1014" s="186">
        <v>6.1</v>
      </c>
      <c r="G1014" s="186">
        <v>3.2681928689999999</v>
      </c>
    </row>
    <row r="1015" spans="1:7" ht="14.4">
      <c r="A1015" s="186">
        <v>1014</v>
      </c>
      <c r="B1015" s="186" t="s">
        <v>362</v>
      </c>
      <c r="C1015" s="186" t="s">
        <v>1272</v>
      </c>
      <c r="D1015" s="187">
        <v>1657.1</v>
      </c>
      <c r="E1015" s="186">
        <v>6.07</v>
      </c>
      <c r="F1015" s="186">
        <v>6.1</v>
      </c>
      <c r="G1015" s="186">
        <v>3.2681928689999999</v>
      </c>
    </row>
    <row r="1016" spans="1:7" ht="14.4">
      <c r="A1016" s="186">
        <v>1015</v>
      </c>
      <c r="B1016" s="186" t="s">
        <v>263</v>
      </c>
      <c r="C1016" s="186" t="s">
        <v>1273</v>
      </c>
      <c r="D1016" s="187">
        <v>1873.8</v>
      </c>
      <c r="E1016" s="186">
        <v>6.16</v>
      </c>
      <c r="F1016" s="186">
        <v>6.1</v>
      </c>
      <c r="G1016" s="186">
        <v>3.2681928689999999</v>
      </c>
    </row>
    <row r="1017" spans="1:7" ht="14.4">
      <c r="A1017" s="186">
        <v>1016</v>
      </c>
      <c r="B1017" s="186" t="s">
        <v>164</v>
      </c>
      <c r="C1017" s="186" t="s">
        <v>1274</v>
      </c>
      <c r="D1017" s="186">
        <v>268.89999999999998</v>
      </c>
      <c r="E1017" s="186">
        <v>6.13</v>
      </c>
      <c r="F1017" s="186">
        <v>6.1</v>
      </c>
      <c r="G1017" s="186">
        <v>3.2681928689999999</v>
      </c>
    </row>
    <row r="1018" spans="1:7" ht="14.4">
      <c r="A1018" s="186">
        <v>1017</v>
      </c>
      <c r="B1018" s="186" t="s">
        <v>415</v>
      </c>
      <c r="C1018" s="186" t="s">
        <v>1275</v>
      </c>
      <c r="D1018" s="186">
        <v>59.1</v>
      </c>
      <c r="E1018" s="186">
        <v>6.52</v>
      </c>
      <c r="F1018" s="186">
        <v>6.1</v>
      </c>
      <c r="G1018" s="186">
        <v>3.2681928689999999</v>
      </c>
    </row>
    <row r="1019" spans="1:7" ht="14.4">
      <c r="A1019" s="186">
        <v>1018</v>
      </c>
      <c r="B1019" s="186" t="s">
        <v>335</v>
      </c>
      <c r="C1019" s="186" t="s">
        <v>1276</v>
      </c>
      <c r="D1019" s="187">
        <v>2138.3000000000002</v>
      </c>
      <c r="E1019" s="186">
        <v>6.03</v>
      </c>
      <c r="F1019" s="186">
        <v>6.1</v>
      </c>
      <c r="G1019" s="186">
        <v>3.2681928689999999</v>
      </c>
    </row>
    <row r="1020" spans="1:7" ht="14.4">
      <c r="A1020" s="186">
        <v>1019</v>
      </c>
      <c r="B1020" s="186" t="s">
        <v>834</v>
      </c>
      <c r="C1020" s="186" t="s">
        <v>1277</v>
      </c>
      <c r="D1020" s="186">
        <v>926.5</v>
      </c>
      <c r="E1020" s="186">
        <v>6.01</v>
      </c>
      <c r="F1020" s="186">
        <v>6.1</v>
      </c>
      <c r="G1020" s="186">
        <v>3.2681928689999999</v>
      </c>
    </row>
    <row r="1021" spans="1:7" ht="14.4">
      <c r="A1021" s="186">
        <v>1020</v>
      </c>
      <c r="B1021" s="186" t="s">
        <v>834</v>
      </c>
      <c r="C1021" s="186" t="s">
        <v>1278</v>
      </c>
      <c r="D1021" s="186">
        <v>16.2</v>
      </c>
      <c r="E1021" s="186">
        <v>6.43</v>
      </c>
      <c r="F1021" s="186">
        <v>6.1</v>
      </c>
      <c r="G1021" s="186">
        <v>3.2681928689999999</v>
      </c>
    </row>
    <row r="1022" spans="1:7" ht="14.4">
      <c r="A1022" s="186">
        <v>1021</v>
      </c>
      <c r="B1022" s="186" t="s">
        <v>325</v>
      </c>
      <c r="C1022" s="186" t="s">
        <v>1279</v>
      </c>
      <c r="D1022" s="186">
        <v>60.8</v>
      </c>
      <c r="E1022" s="186">
        <v>6.24</v>
      </c>
      <c r="F1022" s="186">
        <v>6.1</v>
      </c>
      <c r="G1022" s="186">
        <v>3.2681928689999999</v>
      </c>
    </row>
    <row r="1023" spans="1:7" ht="14.4">
      <c r="A1023" s="186">
        <v>1022</v>
      </c>
      <c r="B1023" s="186" t="s">
        <v>1228</v>
      </c>
      <c r="C1023" s="186" t="s">
        <v>1280</v>
      </c>
      <c r="D1023" s="186">
        <v>377.7</v>
      </c>
      <c r="E1023" s="186">
        <v>6.06</v>
      </c>
      <c r="F1023" s="186">
        <v>6.11</v>
      </c>
      <c r="G1023" s="186">
        <v>3.274358978</v>
      </c>
    </row>
    <row r="1024" spans="1:7" ht="14.4">
      <c r="A1024" s="186">
        <v>1023</v>
      </c>
      <c r="B1024" s="186" t="s">
        <v>178</v>
      </c>
      <c r="C1024" s="186" t="s">
        <v>1281</v>
      </c>
      <c r="D1024" s="186">
        <v>13.5</v>
      </c>
      <c r="E1024" s="186">
        <v>6.35</v>
      </c>
      <c r="F1024" s="186">
        <v>6.11</v>
      </c>
      <c r="G1024" s="186">
        <v>3.274358978</v>
      </c>
    </row>
    <row r="1025" spans="1:7" ht="14.4">
      <c r="A1025" s="186">
        <v>1024</v>
      </c>
      <c r="B1025" s="186" t="s">
        <v>307</v>
      </c>
      <c r="C1025" s="186" t="s">
        <v>1282</v>
      </c>
      <c r="D1025" s="187">
        <v>2291.3000000000002</v>
      </c>
      <c r="E1025" s="186">
        <v>6.42</v>
      </c>
      <c r="F1025" s="186">
        <v>6.11</v>
      </c>
      <c r="G1025" s="186">
        <v>3.274358978</v>
      </c>
    </row>
    <row r="1026" spans="1:7" ht="14.4">
      <c r="A1026" s="186">
        <v>1025</v>
      </c>
      <c r="B1026" s="186" t="s">
        <v>834</v>
      </c>
      <c r="C1026" s="186" t="s">
        <v>1283</v>
      </c>
      <c r="D1026" s="186">
        <v>118.9</v>
      </c>
      <c r="E1026" s="186">
        <v>6.44</v>
      </c>
      <c r="F1026" s="186">
        <v>6.11</v>
      </c>
      <c r="G1026" s="186">
        <v>3.274358978</v>
      </c>
    </row>
    <row r="1027" spans="1:7" ht="14.4">
      <c r="A1027" s="186">
        <v>1026</v>
      </c>
      <c r="B1027" s="186" t="s">
        <v>241</v>
      </c>
      <c r="C1027" s="186" t="s">
        <v>1284</v>
      </c>
      <c r="D1027" s="186">
        <v>241.1</v>
      </c>
      <c r="E1027" s="186">
        <v>6.66</v>
      </c>
      <c r="F1027" s="186">
        <v>6.12</v>
      </c>
      <c r="G1027" s="186">
        <v>3.280536138</v>
      </c>
    </row>
    <row r="1028" spans="1:7" ht="14.4">
      <c r="A1028" s="186">
        <v>1027</v>
      </c>
      <c r="B1028" s="186" t="s">
        <v>138</v>
      </c>
      <c r="C1028" s="186" t="s">
        <v>1285</v>
      </c>
      <c r="D1028" s="186">
        <v>157.19999999999999</v>
      </c>
      <c r="E1028" s="186">
        <v>6.16</v>
      </c>
      <c r="F1028" s="186">
        <v>6.12</v>
      </c>
      <c r="G1028" s="186">
        <v>3.280536138</v>
      </c>
    </row>
    <row r="1029" spans="1:7" ht="14.4">
      <c r="A1029" s="186">
        <v>1028</v>
      </c>
      <c r="B1029" s="186" t="s">
        <v>138</v>
      </c>
      <c r="C1029" s="186" t="s">
        <v>1286</v>
      </c>
      <c r="D1029" s="186">
        <v>0.8</v>
      </c>
      <c r="E1029" s="186">
        <v>6.37</v>
      </c>
      <c r="F1029" s="186">
        <v>6.12</v>
      </c>
      <c r="G1029" s="186">
        <v>3.280536138</v>
      </c>
    </row>
    <row r="1030" spans="1:7" ht="14.4">
      <c r="A1030" s="186">
        <v>1029</v>
      </c>
      <c r="B1030" s="186" t="s">
        <v>1008</v>
      </c>
      <c r="C1030" s="186" t="s">
        <v>1287</v>
      </c>
      <c r="D1030" s="186">
        <v>16.899999999999999</v>
      </c>
      <c r="E1030" s="186">
        <v>6.32</v>
      </c>
      <c r="F1030" s="186">
        <v>6.12</v>
      </c>
      <c r="G1030" s="186">
        <v>3.280536138</v>
      </c>
    </row>
    <row r="1031" spans="1:7" ht="14.4">
      <c r="A1031" s="186">
        <v>1030</v>
      </c>
      <c r="B1031" s="186" t="s">
        <v>365</v>
      </c>
      <c r="C1031" s="186" t="s">
        <v>1288</v>
      </c>
      <c r="D1031" s="186">
        <v>21.7</v>
      </c>
      <c r="E1031" s="186">
        <v>6.35</v>
      </c>
      <c r="F1031" s="186">
        <v>6.12</v>
      </c>
      <c r="G1031" s="186">
        <v>3.280536138</v>
      </c>
    </row>
    <row r="1032" spans="1:7" ht="14.4">
      <c r="A1032" s="186">
        <v>1031</v>
      </c>
      <c r="B1032" s="186" t="s">
        <v>643</v>
      </c>
      <c r="C1032" s="186" t="s">
        <v>1289</v>
      </c>
      <c r="D1032" s="186">
        <v>106.9</v>
      </c>
      <c r="E1032" s="186">
        <v>6.52</v>
      </c>
      <c r="F1032" s="186">
        <v>6.12</v>
      </c>
      <c r="G1032" s="186">
        <v>3.280536138</v>
      </c>
    </row>
    <row r="1033" spans="1:7" ht="14.4">
      <c r="A1033" s="186">
        <v>1032</v>
      </c>
      <c r="B1033" s="186" t="s">
        <v>1290</v>
      </c>
      <c r="C1033" s="186" t="s">
        <v>1291</v>
      </c>
      <c r="D1033" s="186">
        <v>531.29999999999995</v>
      </c>
      <c r="E1033" s="186">
        <v>6.26</v>
      </c>
      <c r="F1033" s="186">
        <v>6.12</v>
      </c>
      <c r="G1033" s="186">
        <v>3.280536138</v>
      </c>
    </row>
    <row r="1034" spans="1:7" ht="14.4">
      <c r="A1034" s="186">
        <v>1033</v>
      </c>
      <c r="B1034" s="186" t="s">
        <v>241</v>
      </c>
      <c r="C1034" s="186" t="s">
        <v>1292</v>
      </c>
      <c r="D1034" s="186">
        <v>66.599999999999994</v>
      </c>
      <c r="E1034" s="186">
        <v>6.5</v>
      </c>
      <c r="F1034" s="186">
        <v>6.13</v>
      </c>
      <c r="G1034" s="186">
        <v>3.2867243670000001</v>
      </c>
    </row>
    <row r="1035" spans="1:7" ht="14.4">
      <c r="A1035" s="186">
        <v>1034</v>
      </c>
      <c r="B1035" s="186" t="s">
        <v>483</v>
      </c>
      <c r="C1035" s="186" t="s">
        <v>1293</v>
      </c>
      <c r="D1035" s="186">
        <v>12.8</v>
      </c>
      <c r="E1035" s="186">
        <v>5.96</v>
      </c>
      <c r="F1035" s="186">
        <v>6.13</v>
      </c>
      <c r="G1035" s="186">
        <v>3.2867243670000001</v>
      </c>
    </row>
    <row r="1036" spans="1:7" ht="14.4">
      <c r="A1036" s="186">
        <v>1035</v>
      </c>
      <c r="B1036" s="186" t="s">
        <v>175</v>
      </c>
      <c r="C1036" s="186" t="s">
        <v>1294</v>
      </c>
      <c r="D1036" s="186">
        <v>13.5</v>
      </c>
      <c r="E1036" s="186">
        <v>6.11</v>
      </c>
      <c r="F1036" s="186">
        <v>6.13</v>
      </c>
      <c r="G1036" s="186">
        <v>3.2867243670000001</v>
      </c>
    </row>
    <row r="1037" spans="1:7" ht="14.4">
      <c r="A1037" s="186">
        <v>1036</v>
      </c>
      <c r="B1037" s="186" t="s">
        <v>415</v>
      </c>
      <c r="C1037" s="186" t="s">
        <v>1295</v>
      </c>
      <c r="D1037" s="187">
        <v>1069.2</v>
      </c>
      <c r="E1037" s="186">
        <v>6.16</v>
      </c>
      <c r="F1037" s="186">
        <v>6.13</v>
      </c>
      <c r="G1037" s="186">
        <v>3.2867243670000001</v>
      </c>
    </row>
    <row r="1038" spans="1:7" ht="14.4">
      <c r="A1038" s="186">
        <v>1037</v>
      </c>
      <c r="B1038" s="186" t="s">
        <v>749</v>
      </c>
      <c r="C1038" s="186" t="s">
        <v>1296</v>
      </c>
      <c r="D1038" s="186">
        <v>7.8</v>
      </c>
      <c r="E1038" s="186">
        <v>6.55</v>
      </c>
      <c r="F1038" s="186">
        <v>6.13</v>
      </c>
      <c r="G1038" s="186">
        <v>3.2867243670000001</v>
      </c>
    </row>
    <row r="1039" spans="1:7" ht="14.4">
      <c r="A1039" s="186">
        <v>1038</v>
      </c>
      <c r="B1039" s="186" t="s">
        <v>1297</v>
      </c>
      <c r="C1039" s="186" t="s">
        <v>1298</v>
      </c>
      <c r="D1039" s="186">
        <v>80.900000000000006</v>
      </c>
      <c r="E1039" s="186">
        <v>6.43</v>
      </c>
      <c r="F1039" s="186">
        <v>6.13</v>
      </c>
      <c r="G1039" s="186">
        <v>3.2867243670000001</v>
      </c>
    </row>
    <row r="1040" spans="1:7" ht="14.4">
      <c r="A1040" s="186">
        <v>1039</v>
      </c>
      <c r="B1040" s="186" t="s">
        <v>271</v>
      </c>
      <c r="C1040" s="186" t="s">
        <v>1299</v>
      </c>
      <c r="D1040" s="186">
        <v>15.5</v>
      </c>
      <c r="E1040" s="186">
        <v>6.42</v>
      </c>
      <c r="F1040" s="186">
        <v>6.14</v>
      </c>
      <c r="G1040" s="186">
        <v>3.2929236849999999</v>
      </c>
    </row>
    <row r="1041" spans="1:7" ht="14.4">
      <c r="A1041" s="186">
        <v>1040</v>
      </c>
      <c r="B1041" s="186" t="s">
        <v>153</v>
      </c>
      <c r="C1041" s="186" t="s">
        <v>1300</v>
      </c>
      <c r="D1041" s="187">
        <v>5218.5</v>
      </c>
      <c r="E1041" s="186">
        <v>6.39</v>
      </c>
      <c r="F1041" s="186">
        <v>6.14</v>
      </c>
      <c r="G1041" s="186">
        <v>3.2929236849999999</v>
      </c>
    </row>
    <row r="1042" spans="1:7" ht="14.4">
      <c r="A1042" s="186">
        <v>1041</v>
      </c>
      <c r="B1042" s="186" t="s">
        <v>263</v>
      </c>
      <c r="C1042" s="186" t="s">
        <v>1301</v>
      </c>
      <c r="D1042" s="186">
        <v>832.5</v>
      </c>
      <c r="E1042" s="186">
        <v>5.89</v>
      </c>
      <c r="F1042" s="186">
        <v>6.14</v>
      </c>
      <c r="G1042" s="186">
        <v>3.2929236849999999</v>
      </c>
    </row>
    <row r="1043" spans="1:7" ht="14.4">
      <c r="A1043" s="186">
        <v>1042</v>
      </c>
      <c r="B1043" s="186" t="s">
        <v>263</v>
      </c>
      <c r="C1043" s="186" t="s">
        <v>1302</v>
      </c>
      <c r="D1043" s="186">
        <v>55.4</v>
      </c>
      <c r="E1043" s="186">
        <v>6.32</v>
      </c>
      <c r="F1043" s="186">
        <v>6.14</v>
      </c>
      <c r="G1043" s="186">
        <v>3.2929236849999999</v>
      </c>
    </row>
    <row r="1044" spans="1:7" ht="14.4">
      <c r="A1044" s="186">
        <v>1043</v>
      </c>
      <c r="B1044" s="186" t="s">
        <v>365</v>
      </c>
      <c r="C1044" s="186" t="s">
        <v>1303</v>
      </c>
      <c r="D1044" s="186">
        <v>0.1</v>
      </c>
      <c r="E1044" s="186">
        <v>6.37</v>
      </c>
      <c r="F1044" s="186">
        <v>6.14</v>
      </c>
      <c r="G1044" s="186">
        <v>3.2929236849999999</v>
      </c>
    </row>
    <row r="1045" spans="1:7" ht="14.4">
      <c r="A1045" s="186">
        <v>1044</v>
      </c>
      <c r="B1045" s="186" t="s">
        <v>1304</v>
      </c>
      <c r="C1045" s="186" t="s">
        <v>1305</v>
      </c>
      <c r="D1045" s="186">
        <v>32.799999999999997</v>
      </c>
      <c r="E1045" s="186">
        <v>6.27</v>
      </c>
      <c r="F1045" s="186">
        <v>6.14</v>
      </c>
      <c r="G1045" s="186">
        <v>3.2929236849999999</v>
      </c>
    </row>
    <row r="1046" spans="1:7" ht="14.4">
      <c r="A1046" s="186">
        <v>1045</v>
      </c>
      <c r="B1046" s="186" t="s">
        <v>415</v>
      </c>
      <c r="C1046" s="186" t="s">
        <v>1306</v>
      </c>
      <c r="D1046" s="187">
        <v>4150.8999999999996</v>
      </c>
      <c r="E1046" s="186">
        <v>6.41</v>
      </c>
      <c r="F1046" s="186">
        <v>6.14</v>
      </c>
      <c r="G1046" s="186">
        <v>3.2929236849999999</v>
      </c>
    </row>
    <row r="1047" spans="1:7" ht="14.4">
      <c r="A1047" s="186">
        <v>1046</v>
      </c>
      <c r="B1047" s="186" t="s">
        <v>415</v>
      </c>
      <c r="C1047" s="186" t="s">
        <v>1307</v>
      </c>
      <c r="D1047" s="187">
        <v>3492.9</v>
      </c>
      <c r="E1047" s="186">
        <v>6.1</v>
      </c>
      <c r="F1047" s="186">
        <v>6.14</v>
      </c>
      <c r="G1047" s="186">
        <v>3.2929236849999999</v>
      </c>
    </row>
    <row r="1048" spans="1:7" ht="14.4">
      <c r="A1048" s="186">
        <v>1047</v>
      </c>
      <c r="B1048" s="186" t="s">
        <v>488</v>
      </c>
      <c r="C1048" s="186" t="s">
        <v>1308</v>
      </c>
      <c r="D1048" s="186">
        <v>3.2</v>
      </c>
      <c r="E1048" s="186">
        <v>6.28</v>
      </c>
      <c r="F1048" s="186">
        <v>6.14</v>
      </c>
      <c r="G1048" s="186">
        <v>3.2929236849999999</v>
      </c>
    </row>
    <row r="1049" spans="1:7" ht="14.4">
      <c r="A1049" s="186">
        <v>1048</v>
      </c>
      <c r="B1049" s="186" t="s">
        <v>545</v>
      </c>
      <c r="C1049" s="186" t="s">
        <v>1309</v>
      </c>
      <c r="D1049" s="186">
        <v>82.3</v>
      </c>
      <c r="E1049" s="186">
        <v>6.47</v>
      </c>
      <c r="F1049" s="186">
        <v>6.14</v>
      </c>
      <c r="G1049" s="186">
        <v>3.2929236849999999</v>
      </c>
    </row>
    <row r="1050" spans="1:7" ht="14.4">
      <c r="A1050" s="186">
        <v>1049</v>
      </c>
      <c r="B1050" s="186" t="s">
        <v>834</v>
      </c>
      <c r="C1050" s="186" t="s">
        <v>1310</v>
      </c>
      <c r="D1050" s="186">
        <v>433.4</v>
      </c>
      <c r="E1050" s="186">
        <v>6.17</v>
      </c>
      <c r="F1050" s="186">
        <v>6.14</v>
      </c>
      <c r="G1050" s="186">
        <v>3.2929236849999999</v>
      </c>
    </row>
    <row r="1051" spans="1:7" ht="14.4">
      <c r="A1051" s="186">
        <v>1050</v>
      </c>
      <c r="B1051" s="186" t="s">
        <v>192</v>
      </c>
      <c r="C1051" s="186" t="s">
        <v>1311</v>
      </c>
      <c r="D1051" s="186">
        <v>307.5</v>
      </c>
      <c r="E1051" s="186">
        <v>6.43</v>
      </c>
      <c r="F1051" s="186">
        <v>6.14</v>
      </c>
      <c r="G1051" s="186">
        <v>3.2929236849999999</v>
      </c>
    </row>
    <row r="1052" spans="1:7" ht="14.4">
      <c r="A1052" s="186">
        <v>1051</v>
      </c>
      <c r="B1052" s="186" t="s">
        <v>728</v>
      </c>
      <c r="C1052" s="186" t="s">
        <v>1312</v>
      </c>
      <c r="D1052" s="186">
        <v>359.2</v>
      </c>
      <c r="E1052" s="186">
        <v>6.22</v>
      </c>
      <c r="F1052" s="186">
        <v>6.14</v>
      </c>
      <c r="G1052" s="186">
        <v>3.2929236849999999</v>
      </c>
    </row>
    <row r="1053" spans="1:7" ht="14.4">
      <c r="A1053" s="186">
        <v>1052</v>
      </c>
      <c r="B1053" s="186" t="s">
        <v>263</v>
      </c>
      <c r="C1053" s="186" t="s">
        <v>1313</v>
      </c>
      <c r="D1053" s="186">
        <v>63.2</v>
      </c>
      <c r="E1053" s="186">
        <v>5.68</v>
      </c>
      <c r="F1053" s="186">
        <v>6.15</v>
      </c>
      <c r="G1053" s="186">
        <v>3.2991341099999998</v>
      </c>
    </row>
    <row r="1054" spans="1:7" ht="14.4">
      <c r="A1054" s="186">
        <v>1053</v>
      </c>
      <c r="B1054" s="186" t="s">
        <v>365</v>
      </c>
      <c r="C1054" s="186" t="s">
        <v>1314</v>
      </c>
      <c r="D1054" s="187">
        <v>1312.3</v>
      </c>
      <c r="E1054" s="186">
        <v>6.4</v>
      </c>
      <c r="F1054" s="186">
        <v>6.15</v>
      </c>
      <c r="G1054" s="186">
        <v>3.2991341099999998</v>
      </c>
    </row>
    <row r="1055" spans="1:7" ht="14.4">
      <c r="A1055" s="186">
        <v>1054</v>
      </c>
      <c r="B1055" s="186" t="s">
        <v>210</v>
      </c>
      <c r="C1055" s="186" t="s">
        <v>1315</v>
      </c>
      <c r="D1055" s="186">
        <v>217.2</v>
      </c>
      <c r="E1055" s="186">
        <v>6.22</v>
      </c>
      <c r="F1055" s="186">
        <v>6.15</v>
      </c>
      <c r="G1055" s="186">
        <v>3.2991341099999998</v>
      </c>
    </row>
    <row r="1056" spans="1:7" ht="14.4">
      <c r="A1056" s="186">
        <v>1055</v>
      </c>
      <c r="B1056" s="186" t="s">
        <v>335</v>
      </c>
      <c r="C1056" s="186" t="s">
        <v>1316</v>
      </c>
      <c r="D1056" s="187">
        <v>3250.4</v>
      </c>
      <c r="E1056" s="186">
        <v>6.28</v>
      </c>
      <c r="F1056" s="186">
        <v>6.15</v>
      </c>
      <c r="G1056" s="186">
        <v>3.2991341099999998</v>
      </c>
    </row>
    <row r="1057" spans="1:7" ht="14.4">
      <c r="A1057" s="186">
        <v>1056</v>
      </c>
      <c r="B1057" s="186" t="s">
        <v>184</v>
      </c>
      <c r="C1057" s="186" t="s">
        <v>1317</v>
      </c>
      <c r="D1057" s="187">
        <v>13543.5</v>
      </c>
      <c r="E1057" s="186">
        <v>6.36</v>
      </c>
      <c r="F1057" s="186">
        <v>6.15</v>
      </c>
      <c r="G1057" s="186">
        <v>3.2991341099999998</v>
      </c>
    </row>
    <row r="1058" spans="1:7" ht="14.4">
      <c r="A1058" s="186">
        <v>1057</v>
      </c>
      <c r="B1058" s="186" t="s">
        <v>547</v>
      </c>
      <c r="C1058" s="186" t="s">
        <v>1318</v>
      </c>
      <c r="D1058" s="187">
        <v>1062.3</v>
      </c>
      <c r="E1058" s="186">
        <v>6.29</v>
      </c>
      <c r="F1058" s="186">
        <v>6.15</v>
      </c>
      <c r="G1058" s="186">
        <v>3.2991341099999998</v>
      </c>
    </row>
    <row r="1059" spans="1:7" ht="14.4">
      <c r="A1059" s="186">
        <v>1058</v>
      </c>
      <c r="B1059" s="186" t="s">
        <v>1319</v>
      </c>
      <c r="C1059" s="186" t="s">
        <v>1320</v>
      </c>
      <c r="D1059" s="186">
        <v>44.9</v>
      </c>
      <c r="E1059" s="186">
        <v>6.34</v>
      </c>
      <c r="F1059" s="186">
        <v>6.15</v>
      </c>
      <c r="G1059" s="186">
        <v>3.2991341099999998</v>
      </c>
    </row>
    <row r="1060" spans="1:7" ht="14.4">
      <c r="A1060" s="186">
        <v>1059</v>
      </c>
      <c r="B1060" s="186" t="s">
        <v>1228</v>
      </c>
      <c r="C1060" s="186" t="s">
        <v>1321</v>
      </c>
      <c r="D1060" s="187">
        <v>1321.5</v>
      </c>
      <c r="E1060" s="186">
        <v>6.1</v>
      </c>
      <c r="F1060" s="186">
        <v>6.16</v>
      </c>
      <c r="G1060" s="186">
        <v>3.3053556620000002</v>
      </c>
    </row>
    <row r="1061" spans="1:7" ht="14.4">
      <c r="A1061" s="186">
        <v>1060</v>
      </c>
      <c r="B1061" s="186" t="s">
        <v>422</v>
      </c>
      <c r="C1061" s="186" t="s">
        <v>1322</v>
      </c>
      <c r="D1061" s="186">
        <v>36.299999999999997</v>
      </c>
      <c r="E1061" s="186">
        <v>6.6</v>
      </c>
      <c r="F1061" s="186">
        <v>6.16</v>
      </c>
      <c r="G1061" s="186">
        <v>3.3053556620000002</v>
      </c>
    </row>
    <row r="1062" spans="1:7" ht="14.4">
      <c r="A1062" s="186">
        <v>1061</v>
      </c>
      <c r="B1062" s="186" t="s">
        <v>1323</v>
      </c>
      <c r="C1062" s="186" t="s">
        <v>1324</v>
      </c>
      <c r="D1062" s="186">
        <v>105.6</v>
      </c>
      <c r="E1062" s="186">
        <v>6.52</v>
      </c>
      <c r="F1062" s="186">
        <v>6.16</v>
      </c>
      <c r="G1062" s="186">
        <v>3.3053556620000002</v>
      </c>
    </row>
    <row r="1063" spans="1:7" ht="14.4">
      <c r="A1063" s="186">
        <v>1062</v>
      </c>
      <c r="B1063" s="186" t="s">
        <v>488</v>
      </c>
      <c r="C1063" s="186" t="s">
        <v>1325</v>
      </c>
      <c r="D1063" s="186">
        <v>3.9</v>
      </c>
      <c r="E1063" s="186">
        <v>6.62</v>
      </c>
      <c r="F1063" s="186">
        <v>6.16</v>
      </c>
      <c r="G1063" s="186">
        <v>3.3053556620000002</v>
      </c>
    </row>
    <row r="1064" spans="1:7" ht="14.4">
      <c r="A1064" s="186">
        <v>1063</v>
      </c>
      <c r="B1064" s="186" t="s">
        <v>801</v>
      </c>
      <c r="C1064" s="186" t="s">
        <v>1326</v>
      </c>
      <c r="D1064" s="186">
        <v>0.2</v>
      </c>
      <c r="E1064" s="186">
        <v>6.45</v>
      </c>
      <c r="F1064" s="186">
        <v>6.16</v>
      </c>
      <c r="G1064" s="186">
        <v>3.3053556620000002</v>
      </c>
    </row>
    <row r="1065" spans="1:7" ht="14.4">
      <c r="A1065" s="186">
        <v>1064</v>
      </c>
      <c r="B1065" s="186" t="s">
        <v>319</v>
      </c>
      <c r="C1065" s="186" t="s">
        <v>1327</v>
      </c>
      <c r="D1065" s="187">
        <v>2115.3000000000002</v>
      </c>
      <c r="E1065" s="186">
        <v>6.5</v>
      </c>
      <c r="F1065" s="186">
        <v>6.16</v>
      </c>
      <c r="G1065" s="186">
        <v>3.3053556620000002</v>
      </c>
    </row>
    <row r="1066" spans="1:7" ht="14.4">
      <c r="A1066" s="186">
        <v>1065</v>
      </c>
      <c r="B1066" s="186" t="s">
        <v>948</v>
      </c>
      <c r="C1066" s="186" t="s">
        <v>1328</v>
      </c>
      <c r="D1066" s="186">
        <v>3.5</v>
      </c>
      <c r="E1066" s="186">
        <v>6.31</v>
      </c>
      <c r="F1066" s="186">
        <v>6.16</v>
      </c>
      <c r="G1066" s="186">
        <v>3.3053556620000002</v>
      </c>
    </row>
    <row r="1067" spans="1:7" ht="14.4">
      <c r="A1067" s="186">
        <v>1066</v>
      </c>
      <c r="B1067" s="186" t="s">
        <v>547</v>
      </c>
      <c r="C1067" s="186" t="s">
        <v>1329</v>
      </c>
      <c r="D1067" s="186">
        <v>70.900000000000006</v>
      </c>
      <c r="E1067" s="186">
        <v>6.31</v>
      </c>
      <c r="F1067" s="186">
        <v>6.16</v>
      </c>
      <c r="G1067" s="186">
        <v>3.3053556620000002</v>
      </c>
    </row>
    <row r="1068" spans="1:7" ht="14.4">
      <c r="A1068" s="186">
        <v>1067</v>
      </c>
      <c r="B1068" s="186" t="s">
        <v>1008</v>
      </c>
      <c r="C1068" s="186" t="s">
        <v>1330</v>
      </c>
      <c r="D1068" s="186">
        <v>10</v>
      </c>
      <c r="E1068" s="186">
        <v>6.37</v>
      </c>
      <c r="F1068" s="186">
        <v>6.17</v>
      </c>
      <c r="G1068" s="186">
        <v>3.3115883579999998</v>
      </c>
    </row>
    <row r="1069" spans="1:7" ht="14.4">
      <c r="A1069" s="186">
        <v>1068</v>
      </c>
      <c r="B1069" s="186" t="s">
        <v>712</v>
      </c>
      <c r="C1069" s="186" t="s">
        <v>1331</v>
      </c>
      <c r="D1069" s="186">
        <v>1.5</v>
      </c>
      <c r="E1069" s="186">
        <v>6.54</v>
      </c>
      <c r="F1069" s="186">
        <v>6.17</v>
      </c>
      <c r="G1069" s="186">
        <v>3.3115883579999998</v>
      </c>
    </row>
    <row r="1070" spans="1:7" ht="14.4">
      <c r="A1070" s="186">
        <v>1069</v>
      </c>
      <c r="B1070" s="186" t="s">
        <v>712</v>
      </c>
      <c r="C1070" s="186" t="s">
        <v>1332</v>
      </c>
      <c r="D1070" s="187">
        <v>1877.4</v>
      </c>
      <c r="E1070" s="186">
        <v>6.58</v>
      </c>
      <c r="F1070" s="186">
        <v>6.17</v>
      </c>
      <c r="G1070" s="186">
        <v>3.3115883579999998</v>
      </c>
    </row>
    <row r="1071" spans="1:7" ht="14.4">
      <c r="A1071" s="186">
        <v>1070</v>
      </c>
      <c r="B1071" s="186" t="s">
        <v>162</v>
      </c>
      <c r="C1071" s="186" t="s">
        <v>1333</v>
      </c>
      <c r="D1071" s="186">
        <v>12.7</v>
      </c>
      <c r="E1071" s="186">
        <v>6.14</v>
      </c>
      <c r="F1071" s="186">
        <v>6.17</v>
      </c>
      <c r="G1071" s="186">
        <v>3.3115883579999998</v>
      </c>
    </row>
    <row r="1072" spans="1:7" ht="14.4">
      <c r="A1072" s="186">
        <v>1071</v>
      </c>
      <c r="B1072" s="186" t="s">
        <v>395</v>
      </c>
      <c r="C1072" s="186" t="s">
        <v>1334</v>
      </c>
      <c r="D1072" s="187">
        <v>1461.9</v>
      </c>
      <c r="E1072" s="186">
        <v>5.88</v>
      </c>
      <c r="F1072" s="186">
        <v>6.17</v>
      </c>
      <c r="G1072" s="186">
        <v>3.3115883579999998</v>
      </c>
    </row>
    <row r="1073" spans="1:7" ht="14.4">
      <c r="A1073" s="186">
        <v>1072</v>
      </c>
      <c r="B1073" s="186" t="s">
        <v>415</v>
      </c>
      <c r="C1073" s="186" t="s">
        <v>1335</v>
      </c>
      <c r="D1073" s="187">
        <v>2582.6</v>
      </c>
      <c r="E1073" s="186">
        <v>6.14</v>
      </c>
      <c r="F1073" s="186">
        <v>6.17</v>
      </c>
      <c r="G1073" s="186">
        <v>3.3115883579999998</v>
      </c>
    </row>
    <row r="1074" spans="1:7" ht="14.4">
      <c r="A1074" s="186">
        <v>1073</v>
      </c>
      <c r="B1074" s="186" t="s">
        <v>340</v>
      </c>
      <c r="C1074" s="186" t="s">
        <v>1336</v>
      </c>
      <c r="D1074" s="187">
        <v>1500.8</v>
      </c>
      <c r="E1074" s="186">
        <v>6.04</v>
      </c>
      <c r="F1074" s="186">
        <v>6.17</v>
      </c>
      <c r="G1074" s="186">
        <v>3.3115883579999998</v>
      </c>
    </row>
    <row r="1075" spans="1:7" ht="14.4">
      <c r="A1075" s="186">
        <v>1074</v>
      </c>
      <c r="B1075" s="186" t="s">
        <v>1228</v>
      </c>
      <c r="C1075" s="186" t="s">
        <v>1337</v>
      </c>
      <c r="D1075" s="186">
        <v>265.39999999999998</v>
      </c>
      <c r="E1075" s="186">
        <v>6.12</v>
      </c>
      <c r="F1075" s="186">
        <v>6.18</v>
      </c>
      <c r="G1075" s="186">
        <v>3.3178322179999999</v>
      </c>
    </row>
    <row r="1076" spans="1:7" ht="14.4">
      <c r="A1076" s="186">
        <v>1075</v>
      </c>
      <c r="B1076" s="186" t="s">
        <v>1228</v>
      </c>
      <c r="C1076" s="186" t="s">
        <v>1338</v>
      </c>
      <c r="D1076" s="186">
        <v>823.2</v>
      </c>
      <c r="E1076" s="186">
        <v>6.12</v>
      </c>
      <c r="F1076" s="186">
        <v>6.18</v>
      </c>
      <c r="G1076" s="186">
        <v>3.3178322179999999</v>
      </c>
    </row>
    <row r="1077" spans="1:7" ht="14.4">
      <c r="A1077" s="186">
        <v>1076</v>
      </c>
      <c r="B1077" s="186" t="s">
        <v>175</v>
      </c>
      <c r="C1077" s="186" t="s">
        <v>1339</v>
      </c>
      <c r="D1077" s="186">
        <v>235.4</v>
      </c>
      <c r="E1077" s="186">
        <v>5.79</v>
      </c>
      <c r="F1077" s="186">
        <v>6.18</v>
      </c>
      <c r="G1077" s="186">
        <v>3.3178322179999999</v>
      </c>
    </row>
    <row r="1078" spans="1:7" ht="14.4">
      <c r="A1078" s="186">
        <v>1077</v>
      </c>
      <c r="B1078" s="186" t="s">
        <v>553</v>
      </c>
      <c r="C1078" s="186" t="s">
        <v>1340</v>
      </c>
      <c r="D1078" s="186">
        <v>362.2</v>
      </c>
      <c r="E1078" s="186">
        <v>6.5</v>
      </c>
      <c r="F1078" s="186">
        <v>6.18</v>
      </c>
      <c r="G1078" s="186">
        <v>3.3178322179999999</v>
      </c>
    </row>
    <row r="1079" spans="1:7" ht="14.4">
      <c r="A1079" s="186">
        <v>1078</v>
      </c>
      <c r="B1079" s="186" t="s">
        <v>1008</v>
      </c>
      <c r="C1079" s="186" t="s">
        <v>1341</v>
      </c>
      <c r="D1079" s="186">
        <v>85.1</v>
      </c>
      <c r="E1079" s="186">
        <v>6.39</v>
      </c>
      <c r="F1079" s="186">
        <v>6.19</v>
      </c>
      <c r="G1079" s="186">
        <v>3.3240872609999998</v>
      </c>
    </row>
    <row r="1080" spans="1:7" ht="14.4">
      <c r="A1080" s="186">
        <v>1079</v>
      </c>
      <c r="B1080" s="186" t="s">
        <v>483</v>
      </c>
      <c r="C1080" s="186" t="s">
        <v>1342</v>
      </c>
      <c r="D1080" s="187">
        <v>2446.5</v>
      </c>
      <c r="E1080" s="186">
        <v>6.03</v>
      </c>
      <c r="F1080" s="186">
        <v>6.19</v>
      </c>
      <c r="G1080" s="186">
        <v>3.3240872609999998</v>
      </c>
    </row>
    <row r="1081" spans="1:7" ht="14.4">
      <c r="A1081" s="186">
        <v>1080</v>
      </c>
      <c r="B1081" s="186" t="s">
        <v>175</v>
      </c>
      <c r="C1081" s="186" t="s">
        <v>1343</v>
      </c>
      <c r="D1081" s="186">
        <v>689.8</v>
      </c>
      <c r="E1081" s="186">
        <v>6.16</v>
      </c>
      <c r="F1081" s="186">
        <v>6.19</v>
      </c>
      <c r="G1081" s="186">
        <v>3.3240872609999998</v>
      </c>
    </row>
    <row r="1082" spans="1:7" ht="14.4">
      <c r="A1082" s="186">
        <v>1081</v>
      </c>
      <c r="B1082" s="186" t="s">
        <v>146</v>
      </c>
      <c r="C1082" s="186" t="s">
        <v>1344</v>
      </c>
      <c r="D1082" s="186">
        <v>141.9</v>
      </c>
      <c r="E1082" s="186">
        <v>6.55</v>
      </c>
      <c r="F1082" s="186">
        <v>6.19</v>
      </c>
      <c r="G1082" s="186">
        <v>3.3240872609999998</v>
      </c>
    </row>
    <row r="1083" spans="1:7" ht="14.4">
      <c r="A1083" s="186">
        <v>1082</v>
      </c>
      <c r="B1083" s="186" t="s">
        <v>133</v>
      </c>
      <c r="C1083" s="186" t="s">
        <v>1345</v>
      </c>
      <c r="D1083" s="186">
        <v>21.7</v>
      </c>
      <c r="E1083" s="186">
        <v>6.38</v>
      </c>
      <c r="F1083" s="186">
        <v>6.19</v>
      </c>
      <c r="G1083" s="186">
        <v>3.3240872609999998</v>
      </c>
    </row>
    <row r="1084" spans="1:7" ht="14.4">
      <c r="A1084" s="186">
        <v>1083</v>
      </c>
      <c r="B1084" s="186" t="s">
        <v>488</v>
      </c>
      <c r="C1084" s="186" t="s">
        <v>1346</v>
      </c>
      <c r="D1084" s="186">
        <v>64.2</v>
      </c>
      <c r="E1084" s="186">
        <v>6.64</v>
      </c>
      <c r="F1084" s="186">
        <v>6.19</v>
      </c>
      <c r="G1084" s="186">
        <v>3.3240872609999998</v>
      </c>
    </row>
    <row r="1085" spans="1:7" ht="14.4">
      <c r="A1085" s="186">
        <v>1084</v>
      </c>
      <c r="B1085" s="186" t="s">
        <v>1008</v>
      </c>
      <c r="C1085" s="186" t="s">
        <v>1347</v>
      </c>
      <c r="D1085" s="186">
        <v>17.2</v>
      </c>
      <c r="E1085" s="186">
        <v>6.45</v>
      </c>
      <c r="F1085" s="186">
        <v>6.2</v>
      </c>
      <c r="G1085" s="186">
        <v>3.3303535059999998</v>
      </c>
    </row>
    <row r="1086" spans="1:7" ht="14.4">
      <c r="A1086" s="186">
        <v>1085</v>
      </c>
      <c r="B1086" s="186" t="s">
        <v>303</v>
      </c>
      <c r="C1086" s="186" t="s">
        <v>1348</v>
      </c>
      <c r="D1086" s="186">
        <v>424.2</v>
      </c>
      <c r="E1086" s="186">
        <v>6.08</v>
      </c>
      <c r="F1086" s="186">
        <v>6.2</v>
      </c>
      <c r="G1086" s="186">
        <v>3.3303535059999998</v>
      </c>
    </row>
    <row r="1087" spans="1:7" ht="14.4">
      <c r="A1087" s="186">
        <v>1086</v>
      </c>
      <c r="B1087" s="186" t="s">
        <v>175</v>
      </c>
      <c r="C1087" s="186" t="s">
        <v>1349</v>
      </c>
      <c r="D1087" s="186">
        <v>10.9</v>
      </c>
      <c r="E1087" s="186">
        <v>6.36</v>
      </c>
      <c r="F1087" s="186">
        <v>6.2</v>
      </c>
      <c r="G1087" s="186">
        <v>3.3303535059999998</v>
      </c>
    </row>
    <row r="1088" spans="1:7" ht="14.4">
      <c r="A1088" s="186">
        <v>1087</v>
      </c>
      <c r="B1088" s="186" t="s">
        <v>153</v>
      </c>
      <c r="C1088" s="186" t="s">
        <v>1350</v>
      </c>
      <c r="D1088" s="186">
        <v>233.5</v>
      </c>
      <c r="E1088" s="186">
        <v>6.45</v>
      </c>
      <c r="F1088" s="186">
        <v>6.2</v>
      </c>
      <c r="G1088" s="186">
        <v>3.3303535059999998</v>
      </c>
    </row>
    <row r="1089" spans="1:7" ht="14.4">
      <c r="A1089" s="186">
        <v>1088</v>
      </c>
      <c r="B1089" s="186" t="s">
        <v>146</v>
      </c>
      <c r="C1089" s="186" t="s">
        <v>1351</v>
      </c>
      <c r="D1089" s="186">
        <v>476.7</v>
      </c>
      <c r="E1089" s="186">
        <v>6.02</v>
      </c>
      <c r="F1089" s="186">
        <v>6.2</v>
      </c>
      <c r="G1089" s="186">
        <v>3.3303535059999998</v>
      </c>
    </row>
    <row r="1090" spans="1:7" ht="14.4">
      <c r="A1090" s="186">
        <v>1089</v>
      </c>
      <c r="B1090" s="186" t="s">
        <v>553</v>
      </c>
      <c r="C1090" s="186" t="s">
        <v>1352</v>
      </c>
      <c r="D1090" s="186">
        <v>598.1</v>
      </c>
      <c r="E1090" s="186">
        <v>6.22</v>
      </c>
      <c r="F1090" s="186">
        <v>6.2</v>
      </c>
      <c r="G1090" s="186">
        <v>3.3303535059999998</v>
      </c>
    </row>
    <row r="1091" spans="1:7" ht="14.4">
      <c r="A1091" s="186">
        <v>1090</v>
      </c>
      <c r="B1091" s="186" t="s">
        <v>210</v>
      </c>
      <c r="C1091" s="186" t="s">
        <v>1353</v>
      </c>
      <c r="D1091" s="186">
        <v>321.60000000000002</v>
      </c>
      <c r="E1091" s="186">
        <v>6.53</v>
      </c>
      <c r="F1091" s="186">
        <v>6.2</v>
      </c>
      <c r="G1091" s="186">
        <v>3.3303535059999998</v>
      </c>
    </row>
    <row r="1092" spans="1:7" ht="14.4">
      <c r="A1092" s="186">
        <v>1091</v>
      </c>
      <c r="B1092" s="186" t="s">
        <v>1354</v>
      </c>
      <c r="C1092" s="186" t="s">
        <v>1355</v>
      </c>
      <c r="D1092" s="186">
        <v>0.6</v>
      </c>
      <c r="E1092" s="186">
        <v>6.32</v>
      </c>
      <c r="F1092" s="186">
        <v>6.21</v>
      </c>
      <c r="G1092" s="186">
        <v>3.336630972</v>
      </c>
    </row>
    <row r="1093" spans="1:7" ht="14.4">
      <c r="A1093" s="186">
        <v>1092</v>
      </c>
      <c r="B1093" s="186" t="s">
        <v>162</v>
      </c>
      <c r="C1093" s="186" t="s">
        <v>1356</v>
      </c>
      <c r="D1093" s="186">
        <v>10.199999999999999</v>
      </c>
      <c r="E1093" s="186">
        <v>5.97</v>
      </c>
      <c r="F1093" s="186">
        <v>6.21</v>
      </c>
      <c r="G1093" s="186">
        <v>3.336630972</v>
      </c>
    </row>
    <row r="1094" spans="1:7" ht="14.4">
      <c r="A1094" s="186">
        <v>1093</v>
      </c>
      <c r="B1094" s="186" t="s">
        <v>536</v>
      </c>
      <c r="C1094" s="186" t="s">
        <v>1357</v>
      </c>
      <c r="D1094" s="186">
        <v>160.5</v>
      </c>
      <c r="E1094" s="186">
        <v>6.39</v>
      </c>
      <c r="F1094" s="186">
        <v>6.21</v>
      </c>
      <c r="G1094" s="186">
        <v>3.336630972</v>
      </c>
    </row>
    <row r="1095" spans="1:7" ht="14.4">
      <c r="A1095" s="186">
        <v>1094</v>
      </c>
      <c r="B1095" s="186" t="s">
        <v>263</v>
      </c>
      <c r="C1095" s="186" t="s">
        <v>1358</v>
      </c>
      <c r="D1095" s="187">
        <v>1725.3</v>
      </c>
      <c r="E1095" s="186">
        <v>6.04</v>
      </c>
      <c r="F1095" s="186">
        <v>6.21</v>
      </c>
      <c r="G1095" s="186">
        <v>3.336630972</v>
      </c>
    </row>
    <row r="1096" spans="1:7" ht="14.4">
      <c r="A1096" s="186">
        <v>1095</v>
      </c>
      <c r="B1096" s="186" t="s">
        <v>373</v>
      </c>
      <c r="C1096" s="186" t="s">
        <v>1359</v>
      </c>
      <c r="D1096" s="186">
        <v>9.5</v>
      </c>
      <c r="E1096" s="186">
        <v>6.69</v>
      </c>
      <c r="F1096" s="186">
        <v>6.21</v>
      </c>
      <c r="G1096" s="186">
        <v>3.336630972</v>
      </c>
    </row>
    <row r="1097" spans="1:7" ht="14.4">
      <c r="A1097" s="186">
        <v>1096</v>
      </c>
      <c r="B1097" s="186" t="s">
        <v>133</v>
      </c>
      <c r="C1097" s="186" t="s">
        <v>1360</v>
      </c>
      <c r="D1097" s="186">
        <v>103.8</v>
      </c>
      <c r="E1097" s="186">
        <v>6.52</v>
      </c>
      <c r="F1097" s="186">
        <v>6.21</v>
      </c>
      <c r="G1097" s="186">
        <v>3.336630972</v>
      </c>
    </row>
    <row r="1098" spans="1:7" ht="14.4">
      <c r="A1098" s="186">
        <v>1097</v>
      </c>
      <c r="B1098" s="186" t="s">
        <v>643</v>
      </c>
      <c r="C1098" s="186" t="s">
        <v>1361</v>
      </c>
      <c r="D1098" s="186">
        <v>7.3</v>
      </c>
      <c r="E1098" s="186">
        <v>6</v>
      </c>
      <c r="F1098" s="186">
        <v>6.21</v>
      </c>
      <c r="G1098" s="186">
        <v>3.336630972</v>
      </c>
    </row>
    <row r="1099" spans="1:7" ht="14.4">
      <c r="A1099" s="186">
        <v>1098</v>
      </c>
      <c r="B1099" s="186" t="s">
        <v>1008</v>
      </c>
      <c r="C1099" s="186" t="s">
        <v>1362</v>
      </c>
      <c r="D1099" s="186">
        <v>73.900000000000006</v>
      </c>
      <c r="E1099" s="186">
        <v>6.4</v>
      </c>
      <c r="F1099" s="186">
        <v>6.22</v>
      </c>
      <c r="G1099" s="186">
        <v>3.3429196779999999</v>
      </c>
    </row>
    <row r="1100" spans="1:7" ht="14.4">
      <c r="A1100" s="186">
        <v>1099</v>
      </c>
      <c r="B1100" s="186" t="s">
        <v>415</v>
      </c>
      <c r="C1100" s="186" t="s">
        <v>1363</v>
      </c>
      <c r="D1100" s="186">
        <v>90.6</v>
      </c>
      <c r="E1100" s="186">
        <v>6.47</v>
      </c>
      <c r="F1100" s="186">
        <v>6.22</v>
      </c>
      <c r="G1100" s="186">
        <v>3.3429196779999999</v>
      </c>
    </row>
    <row r="1101" spans="1:7" ht="14.4">
      <c r="A1101" s="186">
        <v>1100</v>
      </c>
      <c r="B1101" s="186" t="s">
        <v>280</v>
      </c>
      <c r="C1101" s="186" t="s">
        <v>1364</v>
      </c>
      <c r="D1101" s="186">
        <v>18.7</v>
      </c>
      <c r="E1101" s="186">
        <v>5.84</v>
      </c>
      <c r="F1101" s="186">
        <v>6.22</v>
      </c>
      <c r="G1101" s="186">
        <v>3.3429196779999999</v>
      </c>
    </row>
    <row r="1102" spans="1:7" ht="14.4">
      <c r="A1102" s="186">
        <v>1101</v>
      </c>
      <c r="B1102" s="186" t="s">
        <v>280</v>
      </c>
      <c r="C1102" s="944" t="s">
        <v>1365</v>
      </c>
      <c r="D1102" s="186">
        <v>195.3</v>
      </c>
      <c r="E1102" s="186">
        <v>6.39</v>
      </c>
      <c r="F1102" s="186">
        <v>6.22</v>
      </c>
      <c r="G1102" s="186">
        <v>3.3429196779999999</v>
      </c>
    </row>
    <row r="1103" spans="1:7" ht="14.4">
      <c r="A1103" s="186">
        <v>1102</v>
      </c>
      <c r="B1103" s="186" t="s">
        <v>317</v>
      </c>
      <c r="C1103" s="186" t="s">
        <v>1366</v>
      </c>
      <c r="D1103" s="186">
        <v>2.8</v>
      </c>
      <c r="E1103" s="186">
        <v>6.41</v>
      </c>
      <c r="F1103" s="186">
        <v>6.22</v>
      </c>
      <c r="G1103" s="186">
        <v>3.3429196779999999</v>
      </c>
    </row>
    <row r="1104" spans="1:7" ht="14.4">
      <c r="A1104" s="186">
        <v>1103</v>
      </c>
      <c r="B1104" s="186" t="s">
        <v>138</v>
      </c>
      <c r="C1104" s="186" t="s">
        <v>1367</v>
      </c>
      <c r="D1104" s="186">
        <v>120.5</v>
      </c>
      <c r="E1104" s="186">
        <v>6.41</v>
      </c>
      <c r="F1104" s="186">
        <v>6.23</v>
      </c>
      <c r="G1104" s="186">
        <v>3.349219642</v>
      </c>
    </row>
    <row r="1105" spans="1:7" ht="14.4">
      <c r="A1105" s="186">
        <v>1104</v>
      </c>
      <c r="B1105" s="186" t="s">
        <v>263</v>
      </c>
      <c r="C1105" s="186" t="s">
        <v>1368</v>
      </c>
      <c r="D1105" s="186">
        <v>2.8</v>
      </c>
      <c r="E1105" s="186">
        <v>6.29</v>
      </c>
      <c r="F1105" s="186">
        <v>6.23</v>
      </c>
      <c r="G1105" s="186">
        <v>3.349219642</v>
      </c>
    </row>
    <row r="1106" spans="1:7" ht="14.4">
      <c r="A1106" s="186">
        <v>1105</v>
      </c>
      <c r="B1106" s="186" t="s">
        <v>263</v>
      </c>
      <c r="C1106" s="186" t="s">
        <v>1369</v>
      </c>
      <c r="D1106" s="186">
        <v>70</v>
      </c>
      <c r="E1106" s="186">
        <v>6.32</v>
      </c>
      <c r="F1106" s="186">
        <v>6.23</v>
      </c>
      <c r="G1106" s="186">
        <v>3.349219642</v>
      </c>
    </row>
    <row r="1107" spans="1:7" ht="14.4">
      <c r="A1107" s="186">
        <v>1106</v>
      </c>
      <c r="B1107" s="186" t="s">
        <v>158</v>
      </c>
      <c r="C1107" s="186" t="s">
        <v>1370</v>
      </c>
      <c r="D1107" s="186">
        <v>59.7</v>
      </c>
      <c r="E1107" s="186">
        <v>6.49</v>
      </c>
      <c r="F1107" s="186">
        <v>6.23</v>
      </c>
      <c r="G1107" s="186">
        <v>3.349219642</v>
      </c>
    </row>
    <row r="1108" spans="1:7" ht="14.4">
      <c r="A1108" s="186">
        <v>1107</v>
      </c>
      <c r="B1108" s="186" t="s">
        <v>415</v>
      </c>
      <c r="C1108" s="186" t="s">
        <v>1371</v>
      </c>
      <c r="D1108" s="186">
        <v>27.6</v>
      </c>
      <c r="E1108" s="186">
        <v>6.47</v>
      </c>
      <c r="F1108" s="186">
        <v>6.23</v>
      </c>
      <c r="G1108" s="186">
        <v>3.349219642</v>
      </c>
    </row>
    <row r="1109" spans="1:7" ht="14.4">
      <c r="A1109" s="186">
        <v>1108</v>
      </c>
      <c r="B1109" s="186" t="s">
        <v>1008</v>
      </c>
      <c r="C1109" s="186" t="s">
        <v>1372</v>
      </c>
      <c r="D1109" s="186">
        <v>37.6</v>
      </c>
      <c r="E1109" s="186">
        <v>6.49</v>
      </c>
      <c r="F1109" s="186">
        <v>6.24</v>
      </c>
      <c r="G1109" s="186">
        <v>3.3555308849999999</v>
      </c>
    </row>
    <row r="1110" spans="1:7" ht="14.4">
      <c r="A1110" s="186">
        <v>1109</v>
      </c>
      <c r="B1110" s="186" t="s">
        <v>133</v>
      </c>
      <c r="C1110" s="186" t="s">
        <v>1373</v>
      </c>
      <c r="D1110" s="186">
        <v>21.1</v>
      </c>
      <c r="E1110" s="186">
        <v>6.37</v>
      </c>
      <c r="F1110" s="186">
        <v>6.24</v>
      </c>
      <c r="G1110" s="186">
        <v>3.3555308849999999</v>
      </c>
    </row>
    <row r="1111" spans="1:7" ht="14.4">
      <c r="A1111" s="186">
        <v>1110</v>
      </c>
      <c r="B1111" s="186" t="s">
        <v>340</v>
      </c>
      <c r="C1111" s="186" t="s">
        <v>1374</v>
      </c>
      <c r="D1111" s="186">
        <v>467.5</v>
      </c>
      <c r="E1111" s="186">
        <v>6.27</v>
      </c>
      <c r="F1111" s="186">
        <v>6.24</v>
      </c>
      <c r="G1111" s="186">
        <v>3.3555308849999999</v>
      </c>
    </row>
    <row r="1112" spans="1:7" ht="14.4">
      <c r="A1112" s="186">
        <v>1111</v>
      </c>
      <c r="B1112" s="186" t="s">
        <v>234</v>
      </c>
      <c r="C1112" s="186" t="s">
        <v>1375</v>
      </c>
      <c r="D1112" s="186">
        <v>123.2</v>
      </c>
      <c r="E1112" s="186">
        <v>6.76</v>
      </c>
      <c r="F1112" s="186">
        <v>6.25</v>
      </c>
      <c r="G1112" s="186">
        <v>3.3618534250000001</v>
      </c>
    </row>
    <row r="1113" spans="1:7" ht="14.4">
      <c r="A1113" s="186">
        <v>1112</v>
      </c>
      <c r="B1113" s="186" t="s">
        <v>303</v>
      </c>
      <c r="C1113" s="186" t="s">
        <v>1376</v>
      </c>
      <c r="D1113" s="186">
        <v>6.9</v>
      </c>
      <c r="E1113" s="186">
        <v>6.12</v>
      </c>
      <c r="F1113" s="186">
        <v>6.25</v>
      </c>
      <c r="G1113" s="186">
        <v>3.3618534250000001</v>
      </c>
    </row>
    <row r="1114" spans="1:7" ht="14.4">
      <c r="A1114" s="186">
        <v>1113</v>
      </c>
      <c r="B1114" s="186" t="s">
        <v>153</v>
      </c>
      <c r="C1114" s="186" t="s">
        <v>1377</v>
      </c>
      <c r="D1114" s="186">
        <v>318.2</v>
      </c>
      <c r="E1114" s="186">
        <v>6.56</v>
      </c>
      <c r="F1114" s="186">
        <v>6.25</v>
      </c>
      <c r="G1114" s="186">
        <v>3.3618534250000001</v>
      </c>
    </row>
    <row r="1115" spans="1:7" ht="14.4">
      <c r="A1115" s="186">
        <v>1114</v>
      </c>
      <c r="B1115" s="186" t="s">
        <v>210</v>
      </c>
      <c r="C1115" s="186" t="s">
        <v>1378</v>
      </c>
      <c r="D1115" s="186">
        <v>424.3</v>
      </c>
      <c r="E1115" s="186">
        <v>6.27</v>
      </c>
      <c r="F1115" s="186">
        <v>6.25</v>
      </c>
      <c r="G1115" s="186">
        <v>3.3618534250000001</v>
      </c>
    </row>
    <row r="1116" spans="1:7" ht="14.4">
      <c r="A1116" s="186">
        <v>1115</v>
      </c>
      <c r="B1116" s="186" t="s">
        <v>210</v>
      </c>
      <c r="C1116" s="186" t="s">
        <v>1379</v>
      </c>
      <c r="D1116" s="186">
        <v>67.3</v>
      </c>
      <c r="E1116" s="186">
        <v>6.57</v>
      </c>
      <c r="F1116" s="186">
        <v>6.25</v>
      </c>
      <c r="G1116" s="186">
        <v>3.3618534250000001</v>
      </c>
    </row>
    <row r="1117" spans="1:7" ht="14.4">
      <c r="A1117" s="186">
        <v>1116</v>
      </c>
      <c r="B1117" s="186" t="s">
        <v>192</v>
      </c>
      <c r="C1117" s="186" t="s">
        <v>1380</v>
      </c>
      <c r="D1117" s="187">
        <v>1265.9000000000001</v>
      </c>
      <c r="E1117" s="186">
        <v>6.62</v>
      </c>
      <c r="F1117" s="186">
        <v>6.25</v>
      </c>
      <c r="G1117" s="186">
        <v>3.3618534250000001</v>
      </c>
    </row>
    <row r="1118" spans="1:7" ht="14.4">
      <c r="A1118" s="186">
        <v>1117</v>
      </c>
      <c r="B1118" s="186" t="s">
        <v>1215</v>
      </c>
      <c r="C1118" s="186" t="s">
        <v>1381</v>
      </c>
      <c r="D1118" s="186">
        <v>150</v>
      </c>
      <c r="E1118" s="186">
        <v>6.63</v>
      </c>
      <c r="F1118" s="186">
        <v>6.25</v>
      </c>
      <c r="G1118" s="186">
        <v>3.3618534250000001</v>
      </c>
    </row>
    <row r="1119" spans="1:7" ht="14.4">
      <c r="A1119" s="186">
        <v>1118</v>
      </c>
      <c r="B1119" s="186" t="s">
        <v>138</v>
      </c>
      <c r="C1119" s="186" t="s">
        <v>1382</v>
      </c>
      <c r="D1119" s="186">
        <v>47.6</v>
      </c>
      <c r="E1119" s="186">
        <v>6.51</v>
      </c>
      <c r="F1119" s="186">
        <v>6.26</v>
      </c>
      <c r="G1119" s="186">
        <v>3.368187281</v>
      </c>
    </row>
    <row r="1120" spans="1:7" ht="14.4">
      <c r="A1120" s="186">
        <v>1119</v>
      </c>
      <c r="B1120" s="186" t="s">
        <v>422</v>
      </c>
      <c r="C1120" s="186" t="s">
        <v>1383</v>
      </c>
      <c r="D1120" s="186">
        <v>144.30000000000001</v>
      </c>
      <c r="E1120" s="186">
        <v>6.55</v>
      </c>
      <c r="F1120" s="186">
        <v>6.26</v>
      </c>
      <c r="G1120" s="186">
        <v>3.368187281</v>
      </c>
    </row>
    <row r="1121" spans="1:7" ht="14.4">
      <c r="A1121" s="186">
        <v>1120</v>
      </c>
      <c r="B1121" s="186" t="s">
        <v>153</v>
      </c>
      <c r="C1121" s="186" t="s">
        <v>1384</v>
      </c>
      <c r="D1121" s="187">
        <v>1207.7</v>
      </c>
      <c r="E1121" s="186">
        <v>6.63</v>
      </c>
      <c r="F1121" s="186">
        <v>6.26</v>
      </c>
      <c r="G1121" s="186">
        <v>3.368187281</v>
      </c>
    </row>
    <row r="1122" spans="1:7" ht="14.4">
      <c r="A1122" s="186">
        <v>1121</v>
      </c>
      <c r="B1122" s="186" t="s">
        <v>263</v>
      </c>
      <c r="C1122" s="186" t="s">
        <v>1385</v>
      </c>
      <c r="D1122" s="186">
        <v>0.1</v>
      </c>
      <c r="E1122" s="186">
        <v>6.11</v>
      </c>
      <c r="F1122" s="186">
        <v>6.26</v>
      </c>
      <c r="G1122" s="186">
        <v>3.368187281</v>
      </c>
    </row>
    <row r="1123" spans="1:7" ht="14.4">
      <c r="A1123" s="186">
        <v>1122</v>
      </c>
      <c r="B1123" s="186" t="s">
        <v>415</v>
      </c>
      <c r="C1123" s="186" t="s">
        <v>1386</v>
      </c>
      <c r="D1123" s="186">
        <v>565.20000000000005</v>
      </c>
      <c r="E1123" s="186">
        <v>6.07</v>
      </c>
      <c r="F1123" s="186">
        <v>6.26</v>
      </c>
      <c r="G1123" s="186">
        <v>3.368187281</v>
      </c>
    </row>
    <row r="1124" spans="1:7" ht="14.4">
      <c r="A1124" s="186">
        <v>1123</v>
      </c>
      <c r="B1124" s="186" t="s">
        <v>319</v>
      </c>
      <c r="C1124" s="186" t="s">
        <v>1387</v>
      </c>
      <c r="D1124" s="186">
        <v>179.9</v>
      </c>
      <c r="E1124" s="186">
        <v>6.6</v>
      </c>
      <c r="F1124" s="186">
        <v>6.26</v>
      </c>
      <c r="G1124" s="186">
        <v>3.368187281</v>
      </c>
    </row>
    <row r="1125" spans="1:7" ht="14.4">
      <c r="A1125" s="186">
        <v>1124</v>
      </c>
      <c r="B1125" s="186" t="s">
        <v>311</v>
      </c>
      <c r="C1125" s="186" t="s">
        <v>1388</v>
      </c>
      <c r="D1125" s="186">
        <v>11.7</v>
      </c>
      <c r="E1125" s="186">
        <v>6.25</v>
      </c>
      <c r="F1125" s="186">
        <v>6.26</v>
      </c>
      <c r="G1125" s="186">
        <v>3.368187281</v>
      </c>
    </row>
    <row r="1126" spans="1:7" ht="14.4">
      <c r="A1126" s="186">
        <v>1125</v>
      </c>
      <c r="B1126" s="186" t="s">
        <v>153</v>
      </c>
      <c r="C1126" s="186" t="s">
        <v>1389</v>
      </c>
      <c r="D1126" s="187">
        <v>6748.4</v>
      </c>
      <c r="E1126" s="186">
        <v>6.58</v>
      </c>
      <c r="F1126" s="186">
        <v>6.27</v>
      </c>
      <c r="G1126" s="186">
        <v>3.3745324719999998</v>
      </c>
    </row>
    <row r="1127" spans="1:7" ht="14.4">
      <c r="A1127" s="186">
        <v>1126</v>
      </c>
      <c r="B1127" s="186" t="s">
        <v>1390</v>
      </c>
      <c r="C1127" s="186" t="s">
        <v>1391</v>
      </c>
      <c r="D1127" s="186">
        <v>17.2</v>
      </c>
      <c r="E1127" s="186">
        <v>6.59</v>
      </c>
      <c r="F1127" s="186">
        <v>6.27</v>
      </c>
      <c r="G1127" s="186">
        <v>3.3745324719999998</v>
      </c>
    </row>
    <row r="1128" spans="1:7" ht="14.4">
      <c r="A1128" s="186">
        <v>1127</v>
      </c>
      <c r="B1128" s="186" t="s">
        <v>348</v>
      </c>
      <c r="C1128" s="186" t="s">
        <v>1392</v>
      </c>
      <c r="D1128" s="186">
        <v>0.8</v>
      </c>
      <c r="E1128" s="186">
        <v>6.68</v>
      </c>
      <c r="F1128" s="186">
        <v>6.27</v>
      </c>
      <c r="G1128" s="186">
        <v>3.3745324719999998</v>
      </c>
    </row>
    <row r="1129" spans="1:7" ht="14.4">
      <c r="A1129" s="186">
        <v>1128</v>
      </c>
      <c r="B1129" s="186" t="s">
        <v>335</v>
      </c>
      <c r="C1129" s="186" t="s">
        <v>1393</v>
      </c>
      <c r="D1129" s="186">
        <v>49.5</v>
      </c>
      <c r="E1129" s="186">
        <v>6.43</v>
      </c>
      <c r="F1129" s="186">
        <v>6.27</v>
      </c>
      <c r="G1129" s="186">
        <v>3.3745324719999998</v>
      </c>
    </row>
    <row r="1130" spans="1:7" ht="14.4">
      <c r="A1130" s="186">
        <v>1129</v>
      </c>
      <c r="B1130" s="186" t="s">
        <v>340</v>
      </c>
      <c r="C1130" s="186" t="s">
        <v>1394</v>
      </c>
      <c r="D1130" s="186">
        <v>68.2</v>
      </c>
      <c r="E1130" s="186">
        <v>6.4</v>
      </c>
      <c r="F1130" s="186">
        <v>6.27</v>
      </c>
      <c r="G1130" s="186">
        <v>3.3745324719999998</v>
      </c>
    </row>
    <row r="1131" spans="1:7" ht="14.4">
      <c r="A1131" s="186">
        <v>1130</v>
      </c>
      <c r="B1131" s="186" t="s">
        <v>340</v>
      </c>
      <c r="C1131" s="186" t="s">
        <v>1395</v>
      </c>
      <c r="D1131" s="186">
        <v>688.4</v>
      </c>
      <c r="E1131" s="186">
        <v>6.24</v>
      </c>
      <c r="F1131" s="186">
        <v>6.27</v>
      </c>
      <c r="G1131" s="186">
        <v>3.3745324719999998</v>
      </c>
    </row>
    <row r="1132" spans="1:7" ht="14.4">
      <c r="A1132" s="186">
        <v>1131</v>
      </c>
      <c r="B1132" s="186" t="s">
        <v>1008</v>
      </c>
      <c r="C1132" s="186" t="s">
        <v>1396</v>
      </c>
      <c r="D1132" s="186">
        <v>17.3</v>
      </c>
      <c r="E1132" s="186">
        <v>6.53</v>
      </c>
      <c r="F1132" s="186">
        <v>6.28</v>
      </c>
      <c r="G1132" s="186">
        <v>3.380889018</v>
      </c>
    </row>
    <row r="1133" spans="1:7" ht="14.4">
      <c r="A1133" s="186">
        <v>1132</v>
      </c>
      <c r="B1133" s="186" t="s">
        <v>263</v>
      </c>
      <c r="C1133" s="186" t="s">
        <v>1397</v>
      </c>
      <c r="D1133" s="186">
        <v>11.9</v>
      </c>
      <c r="E1133" s="186">
        <v>6.42</v>
      </c>
      <c r="F1133" s="186">
        <v>6.28</v>
      </c>
      <c r="G1133" s="186">
        <v>3.380889018</v>
      </c>
    </row>
    <row r="1134" spans="1:7" ht="14.4">
      <c r="A1134" s="186">
        <v>1133</v>
      </c>
      <c r="B1134" s="186" t="s">
        <v>138</v>
      </c>
      <c r="C1134" s="186" t="s">
        <v>1398</v>
      </c>
      <c r="D1134" s="187">
        <v>9093</v>
      </c>
      <c r="E1134" s="186">
        <v>6.69</v>
      </c>
      <c r="F1134" s="186">
        <v>6.29</v>
      </c>
      <c r="G1134" s="186">
        <v>3.3872569380000002</v>
      </c>
    </row>
    <row r="1135" spans="1:7" ht="14.4">
      <c r="A1135" s="186">
        <v>1134</v>
      </c>
      <c r="B1135" s="186" t="s">
        <v>178</v>
      </c>
      <c r="C1135" s="186" t="s">
        <v>1399</v>
      </c>
      <c r="D1135" s="186">
        <v>37.1</v>
      </c>
      <c r="E1135" s="186">
        <v>6.56</v>
      </c>
      <c r="F1135" s="186">
        <v>6.29</v>
      </c>
      <c r="G1135" s="186">
        <v>3.3872569380000002</v>
      </c>
    </row>
    <row r="1136" spans="1:7" ht="14.4">
      <c r="A1136" s="186">
        <v>1135</v>
      </c>
      <c r="B1136" s="186" t="s">
        <v>178</v>
      </c>
      <c r="C1136" s="186" t="s">
        <v>1400</v>
      </c>
      <c r="D1136" s="186">
        <v>29.8</v>
      </c>
      <c r="E1136" s="186">
        <v>6.57</v>
      </c>
      <c r="F1136" s="186">
        <v>6.29</v>
      </c>
      <c r="G1136" s="186">
        <v>3.3872569380000002</v>
      </c>
    </row>
    <row r="1137" spans="1:7" ht="14.4">
      <c r="A1137" s="186">
        <v>1136</v>
      </c>
      <c r="B1137" s="186" t="s">
        <v>263</v>
      </c>
      <c r="C1137" s="186" t="s">
        <v>1401</v>
      </c>
      <c r="D1137" s="186">
        <v>518</v>
      </c>
      <c r="E1137" s="186">
        <v>6.35</v>
      </c>
      <c r="F1137" s="186">
        <v>6.29</v>
      </c>
      <c r="G1137" s="186">
        <v>3.3872569380000002</v>
      </c>
    </row>
    <row r="1138" spans="1:7" ht="14.4">
      <c r="A1138" s="186">
        <v>1137</v>
      </c>
      <c r="B1138" s="186" t="s">
        <v>164</v>
      </c>
      <c r="C1138" s="186" t="s">
        <v>1402</v>
      </c>
      <c r="D1138" s="186">
        <v>1.4</v>
      </c>
      <c r="E1138" s="186">
        <v>6.57</v>
      </c>
      <c r="F1138" s="186">
        <v>6.29</v>
      </c>
      <c r="G1138" s="186">
        <v>3.3872569380000002</v>
      </c>
    </row>
    <row r="1139" spans="1:7" ht="14.4">
      <c r="A1139" s="186">
        <v>1138</v>
      </c>
      <c r="B1139" s="186" t="s">
        <v>319</v>
      </c>
      <c r="C1139" s="186" t="s">
        <v>1403</v>
      </c>
      <c r="D1139" s="186">
        <v>135.9</v>
      </c>
      <c r="E1139" s="186">
        <v>6.64</v>
      </c>
      <c r="F1139" s="186">
        <v>6.29</v>
      </c>
      <c r="G1139" s="186">
        <v>3.3872569380000002</v>
      </c>
    </row>
    <row r="1140" spans="1:7" ht="14.4">
      <c r="A1140" s="186">
        <v>1139</v>
      </c>
      <c r="B1140" s="186" t="s">
        <v>241</v>
      </c>
      <c r="C1140" s="186" t="s">
        <v>1404</v>
      </c>
      <c r="D1140" s="186">
        <v>985.8</v>
      </c>
      <c r="E1140" s="186">
        <v>6.86</v>
      </c>
      <c r="F1140" s="186">
        <v>6.3</v>
      </c>
      <c r="G1140" s="186">
        <v>3.3936362519999999</v>
      </c>
    </row>
    <row r="1141" spans="1:7" ht="14.4">
      <c r="A1141" s="186">
        <v>1140</v>
      </c>
      <c r="B1141" s="186" t="s">
        <v>1168</v>
      </c>
      <c r="C1141" s="186" t="s">
        <v>1405</v>
      </c>
      <c r="D1141" s="186">
        <v>21.2</v>
      </c>
      <c r="E1141" s="186">
        <v>6.71</v>
      </c>
      <c r="F1141" s="186">
        <v>6.3</v>
      </c>
      <c r="G1141" s="186">
        <v>3.3936362519999999</v>
      </c>
    </row>
    <row r="1142" spans="1:7" ht="14.4">
      <c r="A1142" s="186">
        <v>1141</v>
      </c>
      <c r="B1142" s="186" t="s">
        <v>1008</v>
      </c>
      <c r="C1142" s="186" t="s">
        <v>1406</v>
      </c>
      <c r="D1142" s="186">
        <v>105.5</v>
      </c>
      <c r="E1142" s="186">
        <v>6.55</v>
      </c>
      <c r="F1142" s="186">
        <v>6.3</v>
      </c>
      <c r="G1142" s="186">
        <v>3.3936362519999999</v>
      </c>
    </row>
    <row r="1143" spans="1:7" ht="14.4">
      <c r="A1143" s="186">
        <v>1142</v>
      </c>
      <c r="B1143" s="186" t="s">
        <v>178</v>
      </c>
      <c r="C1143" s="186" t="s">
        <v>1407</v>
      </c>
      <c r="D1143" s="186">
        <v>1</v>
      </c>
      <c r="E1143" s="186">
        <v>6.49</v>
      </c>
      <c r="F1143" s="186">
        <v>6.3</v>
      </c>
      <c r="G1143" s="186">
        <v>3.3936362519999999</v>
      </c>
    </row>
    <row r="1144" spans="1:7" ht="14.4">
      <c r="A1144" s="186">
        <v>1143</v>
      </c>
      <c r="B1144" s="186" t="s">
        <v>865</v>
      </c>
      <c r="C1144" s="186" t="s">
        <v>1408</v>
      </c>
      <c r="D1144" s="186">
        <v>140.30000000000001</v>
      </c>
      <c r="E1144" s="186">
        <v>6.63</v>
      </c>
      <c r="F1144" s="186">
        <v>6.3</v>
      </c>
      <c r="G1144" s="186">
        <v>3.3936362519999999</v>
      </c>
    </row>
    <row r="1145" spans="1:7" ht="14.4">
      <c r="A1145" s="186">
        <v>1144</v>
      </c>
      <c r="B1145" s="186" t="s">
        <v>1409</v>
      </c>
      <c r="C1145" s="186" t="s">
        <v>1410</v>
      </c>
      <c r="D1145" s="186">
        <v>46.3</v>
      </c>
      <c r="E1145" s="186">
        <v>6.39</v>
      </c>
      <c r="F1145" s="186">
        <v>6.3</v>
      </c>
      <c r="G1145" s="186">
        <v>3.3936362519999999</v>
      </c>
    </row>
    <row r="1146" spans="1:7" ht="14.4">
      <c r="A1146" s="186">
        <v>1145</v>
      </c>
      <c r="B1146" s="186" t="s">
        <v>536</v>
      </c>
      <c r="C1146" s="186" t="s">
        <v>1411</v>
      </c>
      <c r="D1146" s="186">
        <v>42.9</v>
      </c>
      <c r="E1146" s="186">
        <v>6.36</v>
      </c>
      <c r="F1146" s="186">
        <v>6.3</v>
      </c>
      <c r="G1146" s="186">
        <v>3.3936362519999999</v>
      </c>
    </row>
    <row r="1147" spans="1:7" ht="14.4">
      <c r="A1147" s="186">
        <v>1146</v>
      </c>
      <c r="B1147" s="186" t="s">
        <v>175</v>
      </c>
      <c r="C1147" s="186" t="s">
        <v>1412</v>
      </c>
      <c r="D1147" s="186">
        <v>245.7</v>
      </c>
      <c r="E1147" s="186">
        <v>6.33</v>
      </c>
      <c r="F1147" s="186">
        <v>6.31</v>
      </c>
      <c r="G1147" s="186">
        <v>3.4000269780000001</v>
      </c>
    </row>
    <row r="1148" spans="1:7" ht="14.4">
      <c r="A1148" s="186">
        <v>1147</v>
      </c>
      <c r="B1148" s="186" t="s">
        <v>146</v>
      </c>
      <c r="C1148" s="186" t="s">
        <v>1413</v>
      </c>
      <c r="D1148" s="186">
        <v>56.1</v>
      </c>
      <c r="E1148" s="186">
        <v>6.67</v>
      </c>
      <c r="F1148" s="186">
        <v>6.31</v>
      </c>
      <c r="G1148" s="186">
        <v>3.4000269780000001</v>
      </c>
    </row>
    <row r="1149" spans="1:7" ht="14.4">
      <c r="A1149" s="186">
        <v>1148</v>
      </c>
      <c r="B1149" s="186" t="s">
        <v>210</v>
      </c>
      <c r="C1149" s="186" t="s">
        <v>1414</v>
      </c>
      <c r="D1149" s="187">
        <v>4899</v>
      </c>
      <c r="E1149" s="186">
        <v>6.54</v>
      </c>
      <c r="F1149" s="186">
        <v>6.31</v>
      </c>
      <c r="G1149" s="186">
        <v>3.4000269780000001</v>
      </c>
    </row>
    <row r="1150" spans="1:7" ht="14.4">
      <c r="A1150" s="186">
        <v>1149</v>
      </c>
      <c r="B1150" s="186" t="s">
        <v>288</v>
      </c>
      <c r="C1150" s="944" t="s">
        <v>1415</v>
      </c>
      <c r="D1150" s="186">
        <v>484.6</v>
      </c>
      <c r="E1150" s="186">
        <v>6.44</v>
      </c>
      <c r="F1150" s="186">
        <v>6.31</v>
      </c>
      <c r="G1150" s="186">
        <v>3.4000269780000001</v>
      </c>
    </row>
    <row r="1151" spans="1:7" ht="14.4">
      <c r="A1151" s="186">
        <v>1150</v>
      </c>
      <c r="B1151" s="186" t="s">
        <v>415</v>
      </c>
      <c r="C1151" s="186" t="s">
        <v>1416</v>
      </c>
      <c r="D1151" s="186">
        <v>63.1</v>
      </c>
      <c r="E1151" s="186">
        <v>6.6</v>
      </c>
      <c r="F1151" s="186">
        <v>6.31</v>
      </c>
      <c r="G1151" s="186">
        <v>3.4000269780000001</v>
      </c>
    </row>
    <row r="1152" spans="1:7" ht="14.4">
      <c r="A1152" s="186">
        <v>1151</v>
      </c>
      <c r="B1152" s="186" t="s">
        <v>801</v>
      </c>
      <c r="C1152" s="186" t="s">
        <v>1417</v>
      </c>
      <c r="D1152" s="186">
        <v>182.3</v>
      </c>
      <c r="E1152" s="186">
        <v>6.42</v>
      </c>
      <c r="F1152" s="186">
        <v>6.31</v>
      </c>
      <c r="G1152" s="186">
        <v>3.4000269780000001</v>
      </c>
    </row>
    <row r="1153" spans="1:7" ht="14.4">
      <c r="A1153" s="186">
        <v>1152</v>
      </c>
      <c r="B1153" s="186" t="s">
        <v>1418</v>
      </c>
      <c r="C1153" s="186" t="s">
        <v>1419</v>
      </c>
      <c r="D1153" s="186">
        <v>430.6</v>
      </c>
      <c r="E1153" s="186">
        <v>6.67</v>
      </c>
      <c r="F1153" s="186">
        <v>6.31</v>
      </c>
      <c r="G1153" s="186">
        <v>3.4000269780000001</v>
      </c>
    </row>
    <row r="1154" spans="1:7" ht="14.4">
      <c r="A1154" s="186">
        <v>1153</v>
      </c>
      <c r="B1154" s="186" t="s">
        <v>280</v>
      </c>
      <c r="C1154" s="186" t="s">
        <v>1420</v>
      </c>
      <c r="D1154" s="186">
        <v>36.700000000000003</v>
      </c>
      <c r="E1154" s="186">
        <v>6.6</v>
      </c>
      <c r="F1154" s="186">
        <v>6.31</v>
      </c>
      <c r="G1154" s="186">
        <v>3.4000269780000001</v>
      </c>
    </row>
    <row r="1155" spans="1:7" ht="14.4">
      <c r="A1155" s="186">
        <v>1154</v>
      </c>
      <c r="B1155" s="186" t="s">
        <v>767</v>
      </c>
      <c r="C1155" s="186" t="s">
        <v>1421</v>
      </c>
      <c r="D1155" s="186">
        <v>10.4</v>
      </c>
      <c r="E1155" s="186">
        <v>6.64</v>
      </c>
      <c r="F1155" s="186">
        <v>6.31</v>
      </c>
      <c r="G1155" s="186">
        <v>3.4000269780000001</v>
      </c>
    </row>
    <row r="1156" spans="1:7" ht="14.4">
      <c r="A1156" s="186">
        <v>1155</v>
      </c>
      <c r="B1156" s="186" t="s">
        <v>146</v>
      </c>
      <c r="C1156" s="186" t="s">
        <v>1422</v>
      </c>
      <c r="D1156" s="186">
        <v>22.8</v>
      </c>
      <c r="E1156" s="186">
        <v>6.44</v>
      </c>
      <c r="F1156" s="186">
        <v>6.32</v>
      </c>
      <c r="G1156" s="186">
        <v>3.4064291359999999</v>
      </c>
    </row>
    <row r="1157" spans="1:7" ht="14.4">
      <c r="A1157" s="186">
        <v>1156</v>
      </c>
      <c r="B1157" s="186" t="s">
        <v>118</v>
      </c>
      <c r="C1157" s="186" t="s">
        <v>1423</v>
      </c>
      <c r="D1157" s="186">
        <v>51.1</v>
      </c>
      <c r="E1157" s="186">
        <v>6.61</v>
      </c>
      <c r="F1157" s="186">
        <v>6.32</v>
      </c>
      <c r="G1157" s="186">
        <v>3.4064291359999999</v>
      </c>
    </row>
    <row r="1158" spans="1:7" ht="14.4">
      <c r="A1158" s="186">
        <v>1157</v>
      </c>
      <c r="B1158" s="186" t="s">
        <v>138</v>
      </c>
      <c r="C1158" s="186" t="s">
        <v>1424</v>
      </c>
      <c r="D1158" s="186">
        <v>117.7</v>
      </c>
      <c r="E1158" s="186">
        <v>6.41</v>
      </c>
      <c r="F1158" s="186">
        <v>6.33</v>
      </c>
      <c r="G1158" s="186">
        <v>3.4128427449999998</v>
      </c>
    </row>
    <row r="1159" spans="1:7" ht="14.4">
      <c r="A1159" s="186">
        <v>1158</v>
      </c>
      <c r="B1159" s="186" t="s">
        <v>153</v>
      </c>
      <c r="C1159" s="186" t="s">
        <v>1425</v>
      </c>
      <c r="D1159" s="186">
        <v>109.5</v>
      </c>
      <c r="E1159" s="186">
        <v>6.7</v>
      </c>
      <c r="F1159" s="186">
        <v>6.33</v>
      </c>
      <c r="G1159" s="186">
        <v>3.4128427449999998</v>
      </c>
    </row>
    <row r="1160" spans="1:7" ht="14.4">
      <c r="A1160" s="186">
        <v>1159</v>
      </c>
      <c r="B1160" s="186" t="s">
        <v>153</v>
      </c>
      <c r="C1160" s="186" t="s">
        <v>1426</v>
      </c>
      <c r="D1160" s="186">
        <v>83.2</v>
      </c>
      <c r="E1160" s="186">
        <v>6.65</v>
      </c>
      <c r="F1160" s="186">
        <v>6.33</v>
      </c>
      <c r="G1160" s="186">
        <v>3.4128427449999998</v>
      </c>
    </row>
    <row r="1161" spans="1:7" ht="14.4">
      <c r="A1161" s="186">
        <v>1160</v>
      </c>
      <c r="B1161" s="186" t="s">
        <v>415</v>
      </c>
      <c r="C1161" s="186" t="s">
        <v>1427</v>
      </c>
      <c r="D1161" s="187">
        <v>1391.6</v>
      </c>
      <c r="E1161" s="186">
        <v>6.61</v>
      </c>
      <c r="F1161" s="186">
        <v>6.33</v>
      </c>
      <c r="G1161" s="186">
        <v>3.4128427449999998</v>
      </c>
    </row>
    <row r="1162" spans="1:7" ht="14.4">
      <c r="A1162" s="186">
        <v>1161</v>
      </c>
      <c r="B1162" s="186" t="s">
        <v>834</v>
      </c>
      <c r="C1162" s="186" t="s">
        <v>1428</v>
      </c>
      <c r="D1162" s="186">
        <v>265.10000000000002</v>
      </c>
      <c r="E1162" s="186">
        <v>6.45</v>
      </c>
      <c r="F1162" s="186">
        <v>6.33</v>
      </c>
      <c r="G1162" s="186">
        <v>3.4128427449999998</v>
      </c>
    </row>
    <row r="1163" spans="1:7" ht="14.4">
      <c r="A1163" s="186">
        <v>1162</v>
      </c>
      <c r="B1163" s="186" t="s">
        <v>317</v>
      </c>
      <c r="C1163" s="186" t="s">
        <v>1429</v>
      </c>
      <c r="D1163" s="186">
        <v>7.3</v>
      </c>
      <c r="E1163" s="186">
        <v>6.52</v>
      </c>
      <c r="F1163" s="186">
        <v>6.33</v>
      </c>
      <c r="G1163" s="186">
        <v>3.4128427449999998</v>
      </c>
    </row>
    <row r="1164" spans="1:7" ht="14.4">
      <c r="A1164" s="186">
        <v>1163</v>
      </c>
      <c r="B1164" s="186" t="s">
        <v>241</v>
      </c>
      <c r="C1164" s="186" t="s">
        <v>1430</v>
      </c>
      <c r="D1164" s="187">
        <v>1954.5</v>
      </c>
      <c r="E1164" s="186">
        <v>6.69</v>
      </c>
      <c r="F1164" s="186">
        <v>6.34</v>
      </c>
      <c r="G1164" s="186">
        <v>3.4192678249999999</v>
      </c>
    </row>
    <row r="1165" spans="1:7" ht="14.4">
      <c r="A1165" s="186">
        <v>1164</v>
      </c>
      <c r="B1165" s="186" t="s">
        <v>1008</v>
      </c>
      <c r="C1165" s="186" t="s">
        <v>1431</v>
      </c>
      <c r="D1165" s="186">
        <v>0.1</v>
      </c>
      <c r="E1165" s="186">
        <v>6.65</v>
      </c>
      <c r="F1165" s="186">
        <v>6.34</v>
      </c>
      <c r="G1165" s="186">
        <v>3.4192678249999999</v>
      </c>
    </row>
    <row r="1166" spans="1:7" ht="14.4">
      <c r="A1166" s="186">
        <v>1165</v>
      </c>
      <c r="B1166" s="186" t="s">
        <v>286</v>
      </c>
      <c r="C1166" s="944" t="s">
        <v>1432</v>
      </c>
      <c r="D1166" s="187">
        <v>2654.6</v>
      </c>
      <c r="E1166" s="186">
        <v>6.64</v>
      </c>
      <c r="F1166" s="186">
        <v>6.34</v>
      </c>
      <c r="G1166" s="186">
        <v>3.4192678249999999</v>
      </c>
    </row>
    <row r="1167" spans="1:7" ht="14.4">
      <c r="A1167" s="186">
        <v>1166</v>
      </c>
      <c r="B1167" s="186" t="s">
        <v>938</v>
      </c>
      <c r="C1167" s="186" t="s">
        <v>1433</v>
      </c>
      <c r="D1167" s="186">
        <v>151.30000000000001</v>
      </c>
      <c r="E1167" s="186">
        <v>6.35</v>
      </c>
      <c r="F1167" s="186">
        <v>6.34</v>
      </c>
      <c r="G1167" s="186">
        <v>3.4192678249999999</v>
      </c>
    </row>
    <row r="1168" spans="1:7" ht="14.4">
      <c r="A1168" s="186">
        <v>1167</v>
      </c>
      <c r="B1168" s="186" t="s">
        <v>536</v>
      </c>
      <c r="C1168" s="186" t="s">
        <v>1434</v>
      </c>
      <c r="D1168" s="186">
        <v>126.4</v>
      </c>
      <c r="E1168" s="186">
        <v>6.48</v>
      </c>
      <c r="F1168" s="186">
        <v>6.34</v>
      </c>
      <c r="G1168" s="186">
        <v>3.4192678249999999</v>
      </c>
    </row>
    <row r="1169" spans="1:7" ht="14.4">
      <c r="A1169" s="186">
        <v>1168</v>
      </c>
      <c r="B1169" s="186" t="s">
        <v>488</v>
      </c>
      <c r="C1169" s="186" t="s">
        <v>1435</v>
      </c>
      <c r="D1169" s="186">
        <v>56.2</v>
      </c>
      <c r="E1169" s="186">
        <v>6.27</v>
      </c>
      <c r="F1169" s="186">
        <v>6.34</v>
      </c>
      <c r="G1169" s="186">
        <v>3.4192678249999999</v>
      </c>
    </row>
    <row r="1170" spans="1:7" ht="14.4">
      <c r="A1170" s="186">
        <v>1169</v>
      </c>
      <c r="B1170" s="186" t="s">
        <v>728</v>
      </c>
      <c r="C1170" s="186" t="s">
        <v>1436</v>
      </c>
      <c r="D1170" s="186">
        <v>29.7</v>
      </c>
      <c r="E1170" s="186">
        <v>6.7</v>
      </c>
      <c r="F1170" s="186">
        <v>6.34</v>
      </c>
      <c r="G1170" s="186">
        <v>3.4192678249999999</v>
      </c>
    </row>
    <row r="1171" spans="1:7" ht="14.4">
      <c r="A1171" s="186">
        <v>1170</v>
      </c>
      <c r="B1171" s="186" t="s">
        <v>1008</v>
      </c>
      <c r="C1171" s="186" t="s">
        <v>1437</v>
      </c>
      <c r="D1171" s="186">
        <v>277</v>
      </c>
      <c r="E1171" s="186">
        <v>6.52</v>
      </c>
      <c r="F1171" s="186">
        <v>6.35</v>
      </c>
      <c r="G1171" s="186">
        <v>3.4257043939999998</v>
      </c>
    </row>
    <row r="1172" spans="1:7" ht="14.4">
      <c r="A1172" s="186">
        <v>1171</v>
      </c>
      <c r="B1172" s="186" t="s">
        <v>178</v>
      </c>
      <c r="C1172" s="186" t="s">
        <v>1438</v>
      </c>
      <c r="D1172" s="186">
        <v>748.7</v>
      </c>
      <c r="E1172" s="186">
        <v>6.59</v>
      </c>
      <c r="F1172" s="186">
        <v>6.35</v>
      </c>
      <c r="G1172" s="186">
        <v>3.4257043939999998</v>
      </c>
    </row>
    <row r="1173" spans="1:7" ht="14.4">
      <c r="A1173" s="186">
        <v>1172</v>
      </c>
      <c r="B1173" s="186" t="s">
        <v>178</v>
      </c>
      <c r="C1173" s="186" t="s">
        <v>1439</v>
      </c>
      <c r="D1173" s="186">
        <v>0.1</v>
      </c>
      <c r="E1173" s="186">
        <v>6.78</v>
      </c>
      <c r="F1173" s="186">
        <v>6.35</v>
      </c>
      <c r="G1173" s="186">
        <v>3.4257043939999998</v>
      </c>
    </row>
    <row r="1174" spans="1:7" ht="14.4">
      <c r="A1174" s="186">
        <v>1173</v>
      </c>
      <c r="B1174" s="186" t="s">
        <v>175</v>
      </c>
      <c r="C1174" s="186" t="s">
        <v>1440</v>
      </c>
      <c r="D1174" s="186">
        <v>275.39999999999998</v>
      </c>
      <c r="E1174" s="186">
        <v>6.48</v>
      </c>
      <c r="F1174" s="186">
        <v>6.35</v>
      </c>
      <c r="G1174" s="186">
        <v>3.4257043939999998</v>
      </c>
    </row>
    <row r="1175" spans="1:7" ht="14.4">
      <c r="A1175" s="186">
        <v>1174</v>
      </c>
      <c r="B1175" s="186" t="s">
        <v>263</v>
      </c>
      <c r="C1175" s="186" t="s">
        <v>1441</v>
      </c>
      <c r="D1175" s="186">
        <v>352.1</v>
      </c>
      <c r="E1175" s="186">
        <v>6.58</v>
      </c>
      <c r="F1175" s="186">
        <v>6.35</v>
      </c>
      <c r="G1175" s="186">
        <v>3.4257043939999998</v>
      </c>
    </row>
    <row r="1176" spans="1:7" ht="14.4">
      <c r="A1176" s="186">
        <v>1175</v>
      </c>
      <c r="B1176" s="186" t="s">
        <v>210</v>
      </c>
      <c r="C1176" s="186" t="s">
        <v>1442</v>
      </c>
      <c r="D1176" s="186">
        <v>87.6</v>
      </c>
      <c r="E1176" s="186">
        <v>6.63</v>
      </c>
      <c r="F1176" s="186">
        <v>6.35</v>
      </c>
      <c r="G1176" s="186">
        <v>3.4257043939999998</v>
      </c>
    </row>
    <row r="1177" spans="1:7" ht="14.4">
      <c r="A1177" s="186">
        <v>1176</v>
      </c>
      <c r="B1177" s="186" t="s">
        <v>210</v>
      </c>
      <c r="C1177" s="186" t="s">
        <v>1443</v>
      </c>
      <c r="D1177" s="186">
        <v>587.70000000000005</v>
      </c>
      <c r="E1177" s="186">
        <v>6.36</v>
      </c>
      <c r="F1177" s="186">
        <v>6.35</v>
      </c>
      <c r="G1177" s="186">
        <v>3.4257043939999998</v>
      </c>
    </row>
    <row r="1178" spans="1:7" ht="14.4">
      <c r="A1178" s="186">
        <v>1177</v>
      </c>
      <c r="B1178" s="186" t="s">
        <v>178</v>
      </c>
      <c r="C1178" s="186" t="s">
        <v>1444</v>
      </c>
      <c r="D1178" s="186">
        <v>0.1</v>
      </c>
      <c r="E1178" s="186">
        <v>6.6</v>
      </c>
      <c r="F1178" s="186">
        <v>6.36</v>
      </c>
      <c r="G1178" s="186">
        <v>3.432152474</v>
      </c>
    </row>
    <row r="1179" spans="1:7" ht="14.4">
      <c r="A1179" s="186">
        <v>1178</v>
      </c>
      <c r="B1179" s="186" t="s">
        <v>178</v>
      </c>
      <c r="C1179" s="186" t="s">
        <v>1445</v>
      </c>
      <c r="D1179" s="186">
        <v>986.7</v>
      </c>
      <c r="E1179" s="186">
        <v>6.65</v>
      </c>
      <c r="F1179" s="186">
        <v>6.36</v>
      </c>
      <c r="G1179" s="186">
        <v>3.432152474</v>
      </c>
    </row>
    <row r="1180" spans="1:7" ht="14.4">
      <c r="A1180" s="186">
        <v>1179</v>
      </c>
      <c r="B1180" s="186" t="s">
        <v>178</v>
      </c>
      <c r="C1180" s="186" t="s">
        <v>1446</v>
      </c>
      <c r="D1180" s="186">
        <v>65</v>
      </c>
      <c r="E1180" s="186">
        <v>6.78</v>
      </c>
      <c r="F1180" s="186">
        <v>6.36</v>
      </c>
      <c r="G1180" s="186">
        <v>3.432152474</v>
      </c>
    </row>
    <row r="1181" spans="1:7" ht="14.4">
      <c r="A1181" s="186">
        <v>1180</v>
      </c>
      <c r="B1181" s="186" t="s">
        <v>175</v>
      </c>
      <c r="C1181" s="186" t="s">
        <v>1447</v>
      </c>
      <c r="D1181" s="187">
        <v>1258.9000000000001</v>
      </c>
      <c r="E1181" s="186">
        <v>6.38</v>
      </c>
      <c r="F1181" s="186">
        <v>6.36</v>
      </c>
      <c r="G1181" s="186">
        <v>3.432152474</v>
      </c>
    </row>
    <row r="1182" spans="1:7" ht="14.4">
      <c r="A1182" s="186">
        <v>1181</v>
      </c>
      <c r="B1182" s="186" t="s">
        <v>553</v>
      </c>
      <c r="C1182" s="186" t="s">
        <v>1448</v>
      </c>
      <c r="D1182" s="186">
        <v>20.5</v>
      </c>
      <c r="E1182" s="186">
        <v>6.92</v>
      </c>
      <c r="F1182" s="186">
        <v>6.36</v>
      </c>
      <c r="G1182" s="186">
        <v>3.432152474</v>
      </c>
    </row>
    <row r="1183" spans="1:7" ht="14.4">
      <c r="A1183" s="186">
        <v>1182</v>
      </c>
      <c r="B1183" s="186" t="s">
        <v>280</v>
      </c>
      <c r="C1183" s="186" t="s">
        <v>1449</v>
      </c>
      <c r="D1183" s="186">
        <v>34.9</v>
      </c>
      <c r="E1183" s="186">
        <v>6.57</v>
      </c>
      <c r="F1183" s="186">
        <v>6.36</v>
      </c>
      <c r="G1183" s="186">
        <v>3.432152474</v>
      </c>
    </row>
    <row r="1184" spans="1:7" ht="14.4">
      <c r="A1184" s="186">
        <v>1183</v>
      </c>
      <c r="B1184" s="186" t="s">
        <v>210</v>
      </c>
      <c r="C1184" s="186" t="s">
        <v>1450</v>
      </c>
      <c r="D1184" s="186">
        <v>176.6</v>
      </c>
      <c r="E1184" s="186">
        <v>6.72</v>
      </c>
      <c r="F1184" s="186">
        <v>6.37</v>
      </c>
      <c r="G1184" s="186">
        <v>3.4386120820000001</v>
      </c>
    </row>
    <row r="1185" spans="1:7" ht="14.4">
      <c r="A1185" s="186">
        <v>1184</v>
      </c>
      <c r="B1185" s="186" t="s">
        <v>451</v>
      </c>
      <c r="C1185" s="186" t="s">
        <v>1451</v>
      </c>
      <c r="D1185" s="187">
        <v>1254.5999999999999</v>
      </c>
      <c r="E1185" s="186">
        <v>6.12</v>
      </c>
      <c r="F1185" s="186">
        <v>6.37</v>
      </c>
      <c r="G1185" s="186">
        <v>3.4386120820000001</v>
      </c>
    </row>
    <row r="1186" spans="1:7" ht="14.4">
      <c r="A1186" s="186">
        <v>1185</v>
      </c>
      <c r="B1186" s="186" t="s">
        <v>348</v>
      </c>
      <c r="C1186" s="186" t="s">
        <v>1452</v>
      </c>
      <c r="D1186" s="186">
        <v>185.5</v>
      </c>
      <c r="E1186" s="186">
        <v>6.46</v>
      </c>
      <c r="F1186" s="186">
        <v>6.37</v>
      </c>
      <c r="G1186" s="186">
        <v>3.4386120820000001</v>
      </c>
    </row>
    <row r="1187" spans="1:7" ht="14.4">
      <c r="A1187" s="186">
        <v>1186</v>
      </c>
      <c r="B1187" s="186" t="s">
        <v>335</v>
      </c>
      <c r="C1187" s="186" t="s">
        <v>1453</v>
      </c>
      <c r="D1187" s="187">
        <v>7460.1</v>
      </c>
      <c r="E1187" s="186">
        <v>6.4</v>
      </c>
      <c r="F1187" s="186">
        <v>6.37</v>
      </c>
      <c r="G1187" s="186">
        <v>3.4386120820000001</v>
      </c>
    </row>
    <row r="1188" spans="1:7" ht="14.4">
      <c r="A1188" s="186">
        <v>1187</v>
      </c>
      <c r="B1188" s="186" t="s">
        <v>335</v>
      </c>
      <c r="C1188" s="186" t="s">
        <v>1454</v>
      </c>
      <c r="D1188" s="186">
        <v>500.7</v>
      </c>
      <c r="E1188" s="186">
        <v>6.62</v>
      </c>
      <c r="F1188" s="186">
        <v>6.37</v>
      </c>
      <c r="G1188" s="186">
        <v>3.4386120820000001</v>
      </c>
    </row>
    <row r="1189" spans="1:7" ht="14.4">
      <c r="A1189" s="186">
        <v>1188</v>
      </c>
      <c r="B1189" s="186" t="s">
        <v>319</v>
      </c>
      <c r="C1189" s="186" t="s">
        <v>1455</v>
      </c>
      <c r="D1189" s="186">
        <v>213.6</v>
      </c>
      <c r="E1189" s="186">
        <v>6.72</v>
      </c>
      <c r="F1189" s="186">
        <v>6.37</v>
      </c>
      <c r="G1189" s="186">
        <v>3.4386120820000001</v>
      </c>
    </row>
    <row r="1190" spans="1:7" ht="14.4">
      <c r="A1190" s="186">
        <v>1189</v>
      </c>
      <c r="B1190" s="186" t="s">
        <v>241</v>
      </c>
      <c r="C1190" s="186" t="s">
        <v>1456</v>
      </c>
      <c r="D1190" s="186">
        <v>373.1</v>
      </c>
      <c r="E1190" s="186">
        <v>6.96</v>
      </c>
      <c r="F1190" s="186">
        <v>6.38</v>
      </c>
      <c r="G1190" s="186">
        <v>3.4450832390000001</v>
      </c>
    </row>
    <row r="1191" spans="1:7" ht="14.4">
      <c r="A1191" s="186">
        <v>1190</v>
      </c>
      <c r="B1191" s="186" t="s">
        <v>1457</v>
      </c>
      <c r="C1191" s="186" t="s">
        <v>1458</v>
      </c>
      <c r="D1191" s="186">
        <v>504.5</v>
      </c>
      <c r="E1191" s="186">
        <v>6.72</v>
      </c>
      <c r="F1191" s="186">
        <v>6.38</v>
      </c>
      <c r="G1191" s="186">
        <v>3.4450832390000001</v>
      </c>
    </row>
    <row r="1192" spans="1:7" ht="14.4">
      <c r="A1192" s="186">
        <v>1191</v>
      </c>
      <c r="B1192" s="186" t="s">
        <v>175</v>
      </c>
      <c r="C1192" s="186" t="s">
        <v>1459</v>
      </c>
      <c r="D1192" s="186">
        <v>3.1</v>
      </c>
      <c r="E1192" s="186">
        <v>6.65</v>
      </c>
      <c r="F1192" s="186">
        <v>6.38</v>
      </c>
      <c r="G1192" s="186">
        <v>3.4450832390000001</v>
      </c>
    </row>
    <row r="1193" spans="1:7" ht="14.4">
      <c r="A1193" s="186">
        <v>1192</v>
      </c>
      <c r="B1193" s="186" t="s">
        <v>488</v>
      </c>
      <c r="C1193" s="186" t="s">
        <v>1460</v>
      </c>
      <c r="D1193" s="186">
        <v>671</v>
      </c>
      <c r="E1193" s="186">
        <v>6.83</v>
      </c>
      <c r="F1193" s="186">
        <v>6.38</v>
      </c>
      <c r="G1193" s="186">
        <v>3.4450832390000001</v>
      </c>
    </row>
    <row r="1194" spans="1:7" ht="14.4">
      <c r="A1194" s="186">
        <v>1193</v>
      </c>
      <c r="B1194" s="186" t="s">
        <v>335</v>
      </c>
      <c r="C1194" s="186" t="s">
        <v>1461</v>
      </c>
      <c r="D1194" s="186">
        <v>465.8</v>
      </c>
      <c r="E1194" s="186">
        <v>6.46</v>
      </c>
      <c r="F1194" s="186">
        <v>6.38</v>
      </c>
      <c r="G1194" s="186">
        <v>3.4450832390000001</v>
      </c>
    </row>
    <row r="1195" spans="1:7" ht="14.4">
      <c r="A1195" s="186">
        <v>1194</v>
      </c>
      <c r="B1195" s="186" t="s">
        <v>834</v>
      </c>
      <c r="C1195" s="186" t="s">
        <v>1462</v>
      </c>
      <c r="D1195" s="186">
        <v>32.6</v>
      </c>
      <c r="E1195" s="186">
        <v>6.61</v>
      </c>
      <c r="F1195" s="186">
        <v>6.38</v>
      </c>
      <c r="G1195" s="186">
        <v>3.4450832390000001</v>
      </c>
    </row>
    <row r="1196" spans="1:7" ht="14.4">
      <c r="A1196" s="186">
        <v>1195</v>
      </c>
      <c r="B1196" s="186" t="s">
        <v>245</v>
      </c>
      <c r="C1196" s="186" t="s">
        <v>1463</v>
      </c>
      <c r="D1196" s="187">
        <v>1344.5</v>
      </c>
      <c r="E1196" s="186">
        <v>6.56</v>
      </c>
      <c r="F1196" s="186">
        <v>6.38</v>
      </c>
      <c r="G1196" s="186">
        <v>3.4450832390000001</v>
      </c>
    </row>
    <row r="1197" spans="1:7" ht="14.4">
      <c r="A1197" s="186">
        <v>1196</v>
      </c>
      <c r="B1197" s="186" t="s">
        <v>138</v>
      </c>
      <c r="C1197" s="186" t="s">
        <v>1464</v>
      </c>
      <c r="D1197" s="187">
        <v>1719</v>
      </c>
      <c r="E1197" s="186">
        <v>6.74</v>
      </c>
      <c r="F1197" s="186">
        <v>6.39</v>
      </c>
      <c r="G1197" s="186">
        <v>3.4515659639999998</v>
      </c>
    </row>
    <row r="1198" spans="1:7" ht="14.4">
      <c r="A1198" s="186">
        <v>1197</v>
      </c>
      <c r="B1198" s="186" t="s">
        <v>153</v>
      </c>
      <c r="C1198" s="186" t="s">
        <v>1465</v>
      </c>
      <c r="D1198" s="187">
        <v>1566.9</v>
      </c>
      <c r="E1198" s="186">
        <v>6.67</v>
      </c>
      <c r="F1198" s="186">
        <v>6.39</v>
      </c>
      <c r="G1198" s="186">
        <v>3.4515659639999998</v>
      </c>
    </row>
    <row r="1199" spans="1:7" ht="14.4">
      <c r="A1199" s="186">
        <v>1198</v>
      </c>
      <c r="B1199" s="186" t="s">
        <v>164</v>
      </c>
      <c r="C1199" s="186" t="s">
        <v>1466</v>
      </c>
      <c r="D1199" s="186">
        <v>668.3</v>
      </c>
      <c r="E1199" s="186">
        <v>6.37</v>
      </c>
      <c r="F1199" s="186">
        <v>6.39</v>
      </c>
      <c r="G1199" s="186">
        <v>3.4515659639999998</v>
      </c>
    </row>
    <row r="1200" spans="1:7" ht="14.4">
      <c r="A1200" s="186">
        <v>1199</v>
      </c>
      <c r="B1200" s="186" t="s">
        <v>210</v>
      </c>
      <c r="C1200" s="186" t="s">
        <v>1467</v>
      </c>
      <c r="D1200" s="186">
        <v>809.2</v>
      </c>
      <c r="E1200" s="186">
        <v>6.63</v>
      </c>
      <c r="F1200" s="186">
        <v>6.39</v>
      </c>
      <c r="G1200" s="186">
        <v>3.4515659639999998</v>
      </c>
    </row>
    <row r="1201" spans="1:7" ht="14.4">
      <c r="A1201" s="186">
        <v>1200</v>
      </c>
      <c r="B1201" s="186" t="s">
        <v>148</v>
      </c>
      <c r="C1201" s="186" t="s">
        <v>1468</v>
      </c>
      <c r="D1201" s="186">
        <v>579.5</v>
      </c>
      <c r="E1201" s="186">
        <v>6.96</v>
      </c>
      <c r="F1201" s="186">
        <v>6.39</v>
      </c>
      <c r="G1201" s="186">
        <v>3.4515659639999998</v>
      </c>
    </row>
    <row r="1202" spans="1:7" ht="14.4">
      <c r="A1202" s="186">
        <v>1201</v>
      </c>
      <c r="B1202" s="186" t="s">
        <v>415</v>
      </c>
      <c r="C1202" s="186" t="s">
        <v>1469</v>
      </c>
      <c r="D1202" s="186">
        <v>22</v>
      </c>
      <c r="E1202" s="186">
        <v>6.52</v>
      </c>
      <c r="F1202" s="186">
        <v>6.39</v>
      </c>
      <c r="G1202" s="186">
        <v>3.4515659639999998</v>
      </c>
    </row>
    <row r="1203" spans="1:7" ht="14.4">
      <c r="A1203" s="186">
        <v>1202</v>
      </c>
      <c r="B1203" s="186" t="s">
        <v>948</v>
      </c>
      <c r="C1203" s="186" t="s">
        <v>1470</v>
      </c>
      <c r="D1203" s="186">
        <v>10.199999999999999</v>
      </c>
      <c r="E1203" s="186">
        <v>6.75</v>
      </c>
      <c r="F1203" s="186">
        <v>6.39</v>
      </c>
      <c r="G1203" s="186">
        <v>3.4515659639999998</v>
      </c>
    </row>
    <row r="1204" spans="1:7" ht="14.4">
      <c r="A1204" s="186">
        <v>1203</v>
      </c>
      <c r="B1204" s="186" t="s">
        <v>1228</v>
      </c>
      <c r="C1204" s="186" t="s">
        <v>1471</v>
      </c>
      <c r="D1204" s="186">
        <v>224.2</v>
      </c>
      <c r="E1204" s="186">
        <v>6.34</v>
      </c>
      <c r="F1204" s="186">
        <v>6.4</v>
      </c>
      <c r="G1204" s="186">
        <v>3.458060277</v>
      </c>
    </row>
    <row r="1205" spans="1:7" ht="14.4">
      <c r="A1205" s="186">
        <v>1204</v>
      </c>
      <c r="B1205" s="186" t="s">
        <v>1472</v>
      </c>
      <c r="C1205" s="186" t="s">
        <v>1473</v>
      </c>
      <c r="D1205" s="186">
        <v>144.30000000000001</v>
      </c>
      <c r="E1205" s="186">
        <v>6.61</v>
      </c>
      <c r="F1205" s="186">
        <v>6.4</v>
      </c>
      <c r="G1205" s="186">
        <v>3.458060277</v>
      </c>
    </row>
    <row r="1206" spans="1:7" ht="14.4">
      <c r="A1206" s="186">
        <v>1205</v>
      </c>
      <c r="B1206" s="186" t="s">
        <v>536</v>
      </c>
      <c r="C1206" s="186" t="s">
        <v>1474</v>
      </c>
      <c r="D1206" s="186">
        <v>26.9</v>
      </c>
      <c r="E1206" s="186">
        <v>6.25</v>
      </c>
      <c r="F1206" s="186">
        <v>6.4</v>
      </c>
      <c r="G1206" s="186">
        <v>3.458060277</v>
      </c>
    </row>
    <row r="1207" spans="1:7" ht="14.4">
      <c r="A1207" s="186">
        <v>1206</v>
      </c>
      <c r="B1207" s="186" t="s">
        <v>263</v>
      </c>
      <c r="C1207" s="186" t="s">
        <v>1475</v>
      </c>
      <c r="D1207" s="187">
        <v>1059.8</v>
      </c>
      <c r="E1207" s="186">
        <v>6.63</v>
      </c>
      <c r="F1207" s="186">
        <v>6.4</v>
      </c>
      <c r="G1207" s="186">
        <v>3.458060277</v>
      </c>
    </row>
    <row r="1208" spans="1:7" ht="14.4">
      <c r="A1208" s="186">
        <v>1207</v>
      </c>
      <c r="B1208" s="186" t="s">
        <v>210</v>
      </c>
      <c r="C1208" s="186" t="s">
        <v>1476</v>
      </c>
      <c r="D1208" s="187">
        <v>3710.3</v>
      </c>
      <c r="E1208" s="186">
        <v>6.64</v>
      </c>
      <c r="F1208" s="186">
        <v>6.4</v>
      </c>
      <c r="G1208" s="186">
        <v>3.458060277</v>
      </c>
    </row>
    <row r="1209" spans="1:7" ht="14.4">
      <c r="A1209" s="186">
        <v>1208</v>
      </c>
      <c r="B1209" s="186" t="s">
        <v>133</v>
      </c>
      <c r="C1209" s="186" t="s">
        <v>1477</v>
      </c>
      <c r="D1209" s="186">
        <v>413</v>
      </c>
      <c r="E1209" s="186">
        <v>6.59</v>
      </c>
      <c r="F1209" s="186">
        <v>6.4</v>
      </c>
      <c r="G1209" s="186">
        <v>3.458060277</v>
      </c>
    </row>
    <row r="1210" spans="1:7" ht="14.4">
      <c r="A1210" s="186">
        <v>1209</v>
      </c>
      <c r="B1210" s="186" t="s">
        <v>565</v>
      </c>
      <c r="C1210" s="186" t="s">
        <v>1478</v>
      </c>
      <c r="D1210" s="186">
        <v>728</v>
      </c>
      <c r="E1210" s="186">
        <v>6.71</v>
      </c>
      <c r="F1210" s="186">
        <v>6.4</v>
      </c>
      <c r="G1210" s="186">
        <v>3.458060277</v>
      </c>
    </row>
    <row r="1211" spans="1:7" ht="14.4">
      <c r="A1211" s="186">
        <v>1210</v>
      </c>
      <c r="B1211" s="186" t="s">
        <v>1168</v>
      </c>
      <c r="C1211" s="186" t="s">
        <v>1479</v>
      </c>
      <c r="D1211" s="186">
        <v>84.5</v>
      </c>
      <c r="E1211" s="186">
        <v>6.81</v>
      </c>
      <c r="F1211" s="186">
        <v>6.41</v>
      </c>
      <c r="G1211" s="186">
        <v>3.464566198</v>
      </c>
    </row>
    <row r="1212" spans="1:7" ht="14.4">
      <c r="A1212" s="186">
        <v>1211</v>
      </c>
      <c r="B1212" s="186" t="s">
        <v>192</v>
      </c>
      <c r="C1212" s="186" t="s">
        <v>1480</v>
      </c>
      <c r="D1212" s="187">
        <v>2031</v>
      </c>
      <c r="E1212" s="186">
        <v>6.82</v>
      </c>
      <c r="F1212" s="186">
        <v>6.41</v>
      </c>
      <c r="G1212" s="186">
        <v>3.464566198</v>
      </c>
    </row>
    <row r="1213" spans="1:7" ht="14.4">
      <c r="A1213" s="186">
        <v>1212</v>
      </c>
      <c r="B1213" s="186" t="s">
        <v>340</v>
      </c>
      <c r="C1213" s="186" t="s">
        <v>1481</v>
      </c>
      <c r="D1213" s="186">
        <v>82.1</v>
      </c>
      <c r="E1213" s="186">
        <v>6.43</v>
      </c>
      <c r="F1213" s="186">
        <v>6.41</v>
      </c>
      <c r="G1213" s="186">
        <v>3.464566198</v>
      </c>
    </row>
    <row r="1214" spans="1:7" ht="14.4">
      <c r="A1214" s="186">
        <v>1213</v>
      </c>
      <c r="B1214" s="186" t="s">
        <v>271</v>
      </c>
      <c r="C1214" s="944" t="s">
        <v>1482</v>
      </c>
      <c r="D1214" s="187">
        <v>2217</v>
      </c>
      <c r="E1214" s="186">
        <v>6.72</v>
      </c>
      <c r="F1214" s="186">
        <v>6.42</v>
      </c>
      <c r="G1214" s="186">
        <v>3.4710837450000001</v>
      </c>
    </row>
    <row r="1215" spans="1:7" ht="14.4">
      <c r="A1215" s="186">
        <v>1214</v>
      </c>
      <c r="B1215" s="186" t="s">
        <v>801</v>
      </c>
      <c r="C1215" s="186" t="s">
        <v>1483</v>
      </c>
      <c r="D1215" s="186">
        <v>255.1</v>
      </c>
      <c r="E1215" s="186">
        <v>6.4</v>
      </c>
      <c r="F1215" s="186">
        <v>6.42</v>
      </c>
      <c r="G1215" s="186">
        <v>3.4710837450000001</v>
      </c>
    </row>
    <row r="1216" spans="1:7" ht="14.4">
      <c r="A1216" s="186">
        <v>1215</v>
      </c>
      <c r="B1216" s="186" t="s">
        <v>213</v>
      </c>
      <c r="C1216" s="186" t="s">
        <v>1484</v>
      </c>
      <c r="D1216" s="186">
        <v>243.4</v>
      </c>
      <c r="E1216" s="186">
        <v>6.44</v>
      </c>
      <c r="F1216" s="186">
        <v>6.42</v>
      </c>
      <c r="G1216" s="186">
        <v>3.4710837450000001</v>
      </c>
    </row>
    <row r="1217" spans="1:7" ht="14.4">
      <c r="A1217" s="186">
        <v>1216</v>
      </c>
      <c r="B1217" s="186" t="s">
        <v>187</v>
      </c>
      <c r="C1217" s="186" t="s">
        <v>1485</v>
      </c>
      <c r="D1217" s="187">
        <v>1790.6</v>
      </c>
      <c r="E1217" s="186">
        <v>6.65</v>
      </c>
      <c r="F1217" s="186">
        <v>6.42</v>
      </c>
      <c r="G1217" s="186">
        <v>3.4710837450000001</v>
      </c>
    </row>
    <row r="1218" spans="1:7" ht="14.4">
      <c r="A1218" s="186">
        <v>1217</v>
      </c>
      <c r="B1218" s="186" t="s">
        <v>280</v>
      </c>
      <c r="C1218" s="944" t="s">
        <v>1486</v>
      </c>
      <c r="D1218" s="186">
        <v>23.4</v>
      </c>
      <c r="E1218" s="186">
        <v>6.72</v>
      </c>
      <c r="F1218" s="186">
        <v>6.42</v>
      </c>
      <c r="G1218" s="186">
        <v>3.4710837450000001</v>
      </c>
    </row>
    <row r="1219" spans="1:7" ht="14.4">
      <c r="A1219" s="186">
        <v>1218</v>
      </c>
      <c r="B1219" s="186" t="s">
        <v>1319</v>
      </c>
      <c r="C1219" s="186" t="s">
        <v>1487</v>
      </c>
      <c r="D1219" s="186">
        <v>344</v>
      </c>
      <c r="E1219" s="186">
        <v>6.62</v>
      </c>
      <c r="F1219" s="186">
        <v>6.42</v>
      </c>
      <c r="G1219" s="186">
        <v>3.4710837450000001</v>
      </c>
    </row>
    <row r="1220" spans="1:7" ht="14.4">
      <c r="A1220" s="186">
        <v>1219</v>
      </c>
      <c r="B1220" s="186" t="s">
        <v>271</v>
      </c>
      <c r="C1220" s="186" t="s">
        <v>1488</v>
      </c>
      <c r="D1220" s="186">
        <v>133.30000000000001</v>
      </c>
      <c r="E1220" s="186">
        <v>5.99</v>
      </c>
      <c r="F1220" s="186">
        <v>6.43</v>
      </c>
      <c r="G1220" s="186">
        <v>3.4776129390000001</v>
      </c>
    </row>
    <row r="1221" spans="1:7" ht="14.4">
      <c r="A1221" s="186">
        <v>1220</v>
      </c>
      <c r="B1221" s="186" t="s">
        <v>162</v>
      </c>
      <c r="C1221" s="186" t="s">
        <v>1489</v>
      </c>
      <c r="D1221" s="186">
        <v>3.9</v>
      </c>
      <c r="E1221" s="186">
        <v>6.5</v>
      </c>
      <c r="F1221" s="186">
        <v>6.43</v>
      </c>
      <c r="G1221" s="186">
        <v>3.4776129390000001</v>
      </c>
    </row>
    <row r="1222" spans="1:7" ht="14.4">
      <c r="A1222" s="186">
        <v>1221</v>
      </c>
      <c r="B1222" s="186" t="s">
        <v>303</v>
      </c>
      <c r="C1222" s="186" t="s">
        <v>1490</v>
      </c>
      <c r="D1222" s="186">
        <v>9.6</v>
      </c>
      <c r="E1222" s="186">
        <v>6.6</v>
      </c>
      <c r="F1222" s="186">
        <v>6.43</v>
      </c>
      <c r="G1222" s="186">
        <v>3.4776129390000001</v>
      </c>
    </row>
    <row r="1223" spans="1:7" ht="14.4">
      <c r="A1223" s="186">
        <v>1222</v>
      </c>
      <c r="B1223" s="186" t="s">
        <v>834</v>
      </c>
      <c r="C1223" s="186" t="s">
        <v>1491</v>
      </c>
      <c r="D1223" s="186">
        <v>41.8</v>
      </c>
      <c r="E1223" s="186">
        <v>6.76</v>
      </c>
      <c r="F1223" s="186">
        <v>6.43</v>
      </c>
      <c r="G1223" s="186">
        <v>3.4776129390000001</v>
      </c>
    </row>
    <row r="1224" spans="1:7" ht="14.4">
      <c r="A1224" s="186">
        <v>1223</v>
      </c>
      <c r="B1224" s="186" t="s">
        <v>340</v>
      </c>
      <c r="C1224" s="186" t="s">
        <v>1492</v>
      </c>
      <c r="D1224" s="186">
        <v>66.8</v>
      </c>
      <c r="E1224" s="186">
        <v>6.72</v>
      </c>
      <c r="F1224" s="186">
        <v>6.43</v>
      </c>
      <c r="G1224" s="186">
        <v>3.4776129390000001</v>
      </c>
    </row>
    <row r="1225" spans="1:7" ht="14.4">
      <c r="A1225" s="186">
        <v>1224</v>
      </c>
      <c r="B1225" s="186" t="s">
        <v>1215</v>
      </c>
      <c r="C1225" s="186" t="s">
        <v>1493</v>
      </c>
      <c r="D1225" s="186">
        <v>62.7</v>
      </c>
      <c r="E1225" s="186">
        <v>6.73</v>
      </c>
      <c r="F1225" s="186">
        <v>6.43</v>
      </c>
      <c r="G1225" s="186">
        <v>3.4776129390000001</v>
      </c>
    </row>
    <row r="1226" spans="1:7" ht="14.4">
      <c r="A1226" s="186">
        <v>1225</v>
      </c>
      <c r="B1226" s="186" t="s">
        <v>271</v>
      </c>
      <c r="C1226" s="186" t="s">
        <v>1494</v>
      </c>
      <c r="D1226" s="187">
        <v>1505.2</v>
      </c>
      <c r="E1226" s="186">
        <v>6.43</v>
      </c>
      <c r="F1226" s="186">
        <v>6.44</v>
      </c>
      <c r="G1226" s="186">
        <v>3.484153799</v>
      </c>
    </row>
    <row r="1227" spans="1:7" ht="14.4">
      <c r="A1227" s="186">
        <v>1226</v>
      </c>
      <c r="B1227" s="186" t="s">
        <v>178</v>
      </c>
      <c r="C1227" s="186" t="s">
        <v>1495</v>
      </c>
      <c r="D1227" s="186">
        <v>16.5</v>
      </c>
      <c r="E1227" s="186">
        <v>6.49</v>
      </c>
      <c r="F1227" s="186">
        <v>6.44</v>
      </c>
      <c r="G1227" s="186">
        <v>3.484153799</v>
      </c>
    </row>
    <row r="1228" spans="1:7" ht="14.4">
      <c r="A1228" s="186">
        <v>1227</v>
      </c>
      <c r="B1228" s="186" t="s">
        <v>162</v>
      </c>
      <c r="C1228" s="186" t="s">
        <v>1496</v>
      </c>
      <c r="D1228" s="186">
        <v>25.9</v>
      </c>
      <c r="E1228" s="186">
        <v>6.61</v>
      </c>
      <c r="F1228" s="186">
        <v>6.44</v>
      </c>
      <c r="G1228" s="186">
        <v>3.484153799</v>
      </c>
    </row>
    <row r="1229" spans="1:7" ht="14.4">
      <c r="A1229" s="186">
        <v>1228</v>
      </c>
      <c r="B1229" s="186" t="s">
        <v>477</v>
      </c>
      <c r="C1229" s="186" t="s">
        <v>1497</v>
      </c>
      <c r="D1229" s="187">
        <v>5751.4</v>
      </c>
      <c r="E1229" s="186">
        <v>6.46</v>
      </c>
      <c r="F1229" s="186">
        <v>6.44</v>
      </c>
      <c r="G1229" s="186">
        <v>3.484153799</v>
      </c>
    </row>
    <row r="1230" spans="1:7" ht="14.4">
      <c r="A1230" s="186">
        <v>1229</v>
      </c>
      <c r="B1230" s="186" t="s">
        <v>488</v>
      </c>
      <c r="C1230" s="186" t="s">
        <v>1498</v>
      </c>
      <c r="D1230" s="186">
        <v>53.9</v>
      </c>
      <c r="E1230" s="186">
        <v>6.69</v>
      </c>
      <c r="F1230" s="186">
        <v>6.44</v>
      </c>
      <c r="G1230" s="186">
        <v>3.484153799</v>
      </c>
    </row>
    <row r="1231" spans="1:7" ht="14.4">
      <c r="A1231" s="186">
        <v>1230</v>
      </c>
      <c r="B1231" s="186" t="s">
        <v>1499</v>
      </c>
      <c r="C1231" s="186" t="s">
        <v>1500</v>
      </c>
      <c r="D1231" s="187">
        <v>2815.2</v>
      </c>
      <c r="E1231" s="186">
        <v>6.7</v>
      </c>
      <c r="F1231" s="186">
        <v>6.44</v>
      </c>
      <c r="G1231" s="186">
        <v>3.484153799</v>
      </c>
    </row>
    <row r="1232" spans="1:7" ht="14.4">
      <c r="A1232" s="186">
        <v>1231</v>
      </c>
      <c r="B1232" s="186" t="s">
        <v>192</v>
      </c>
      <c r="C1232" s="186" t="s">
        <v>1501</v>
      </c>
      <c r="D1232" s="186">
        <v>418.2</v>
      </c>
      <c r="E1232" s="186">
        <v>6.73</v>
      </c>
      <c r="F1232" s="186">
        <v>6.44</v>
      </c>
      <c r="G1232" s="186">
        <v>3.484153799</v>
      </c>
    </row>
    <row r="1233" spans="1:7" ht="14.4">
      <c r="A1233" s="186">
        <v>1232</v>
      </c>
      <c r="B1233" s="186" t="s">
        <v>1168</v>
      </c>
      <c r="C1233" s="186" t="s">
        <v>1502</v>
      </c>
      <c r="D1233" s="186">
        <v>145.9</v>
      </c>
      <c r="E1233" s="186">
        <v>6.67</v>
      </c>
      <c r="F1233" s="186">
        <v>6.45</v>
      </c>
      <c r="G1233" s="186">
        <v>3.4907063460000001</v>
      </c>
    </row>
    <row r="1234" spans="1:7" ht="14.4">
      <c r="A1234" s="186">
        <v>1233</v>
      </c>
      <c r="B1234" s="186" t="s">
        <v>162</v>
      </c>
      <c r="C1234" s="186" t="s">
        <v>1503</v>
      </c>
      <c r="D1234" s="186">
        <v>135.30000000000001</v>
      </c>
      <c r="E1234" s="186">
        <v>6.74</v>
      </c>
      <c r="F1234" s="186">
        <v>6.45</v>
      </c>
      <c r="G1234" s="186">
        <v>3.4907063460000001</v>
      </c>
    </row>
    <row r="1235" spans="1:7" ht="14.4">
      <c r="A1235" s="186">
        <v>1234</v>
      </c>
      <c r="B1235" s="186" t="s">
        <v>252</v>
      </c>
      <c r="C1235" s="186" t="s">
        <v>1504</v>
      </c>
      <c r="D1235" s="186">
        <v>249.1</v>
      </c>
      <c r="E1235" s="186">
        <v>6.75</v>
      </c>
      <c r="F1235" s="186">
        <v>6.45</v>
      </c>
      <c r="G1235" s="186">
        <v>3.4907063460000001</v>
      </c>
    </row>
    <row r="1236" spans="1:7" ht="14.4">
      <c r="A1236" s="186">
        <v>1235</v>
      </c>
      <c r="B1236" s="186" t="s">
        <v>422</v>
      </c>
      <c r="C1236" s="186" t="s">
        <v>1505</v>
      </c>
      <c r="D1236" s="186">
        <v>28.6</v>
      </c>
      <c r="E1236" s="186">
        <v>6.63</v>
      </c>
      <c r="F1236" s="186">
        <v>6.45</v>
      </c>
      <c r="G1236" s="186">
        <v>3.4907063460000001</v>
      </c>
    </row>
    <row r="1237" spans="1:7" ht="14.4">
      <c r="A1237" s="186">
        <v>1236</v>
      </c>
      <c r="B1237" s="186" t="s">
        <v>146</v>
      </c>
      <c r="C1237" s="186" t="s">
        <v>1506</v>
      </c>
      <c r="D1237" s="186">
        <v>13.7</v>
      </c>
      <c r="E1237" s="186">
        <v>6.56</v>
      </c>
      <c r="F1237" s="186">
        <v>6.45</v>
      </c>
      <c r="G1237" s="186">
        <v>3.4907063460000001</v>
      </c>
    </row>
    <row r="1238" spans="1:7" ht="14.4">
      <c r="A1238" s="186">
        <v>1237</v>
      </c>
      <c r="B1238" s="186" t="s">
        <v>395</v>
      </c>
      <c r="C1238" s="186" t="s">
        <v>1507</v>
      </c>
      <c r="D1238" s="187">
        <v>11162</v>
      </c>
      <c r="E1238" s="186">
        <v>6.16</v>
      </c>
      <c r="F1238" s="186">
        <v>6.45</v>
      </c>
      <c r="G1238" s="186">
        <v>3.4907063460000001</v>
      </c>
    </row>
    <row r="1239" spans="1:7" ht="14.4">
      <c r="A1239" s="186">
        <v>1238</v>
      </c>
      <c r="B1239" s="186" t="s">
        <v>488</v>
      </c>
      <c r="C1239" s="186" t="s">
        <v>1508</v>
      </c>
      <c r="D1239" s="186">
        <v>8.1</v>
      </c>
      <c r="E1239" s="186">
        <v>6.9</v>
      </c>
      <c r="F1239" s="186">
        <v>6.45</v>
      </c>
      <c r="G1239" s="186">
        <v>3.4907063460000001</v>
      </c>
    </row>
    <row r="1240" spans="1:7" ht="14.4">
      <c r="A1240" s="186">
        <v>1239</v>
      </c>
      <c r="B1240" s="186" t="s">
        <v>178</v>
      </c>
      <c r="C1240" s="186" t="s">
        <v>1509</v>
      </c>
      <c r="D1240" s="186">
        <v>194.9</v>
      </c>
      <c r="E1240" s="186">
        <v>6.44</v>
      </c>
      <c r="F1240" s="186">
        <v>6.46</v>
      </c>
      <c r="G1240" s="186">
        <v>3.4972705980000001</v>
      </c>
    </row>
    <row r="1241" spans="1:7" ht="14.4">
      <c r="A1241" s="186">
        <v>1240</v>
      </c>
      <c r="B1241" s="186" t="s">
        <v>252</v>
      </c>
      <c r="C1241" s="186" t="s">
        <v>1510</v>
      </c>
      <c r="D1241" s="186">
        <v>439.8</v>
      </c>
      <c r="E1241" s="186">
        <v>6.46</v>
      </c>
      <c r="F1241" s="186">
        <v>6.46</v>
      </c>
      <c r="G1241" s="186">
        <v>3.4972705980000001</v>
      </c>
    </row>
    <row r="1242" spans="1:7" ht="14.4">
      <c r="A1242" s="186">
        <v>1241</v>
      </c>
      <c r="B1242" s="186" t="s">
        <v>210</v>
      </c>
      <c r="C1242" s="186" t="s">
        <v>1511</v>
      </c>
      <c r="D1242" s="186">
        <v>611.9</v>
      </c>
      <c r="E1242" s="186">
        <v>6.81</v>
      </c>
      <c r="F1242" s="186">
        <v>6.46</v>
      </c>
      <c r="G1242" s="186">
        <v>3.4972705980000001</v>
      </c>
    </row>
    <row r="1243" spans="1:7" ht="14.4">
      <c r="A1243" s="186">
        <v>1242</v>
      </c>
      <c r="B1243" s="186" t="s">
        <v>187</v>
      </c>
      <c r="C1243" s="186" t="s">
        <v>1512</v>
      </c>
      <c r="D1243" s="186">
        <v>483.1</v>
      </c>
      <c r="E1243" s="186">
        <v>6.57</v>
      </c>
      <c r="F1243" s="186">
        <v>6.46</v>
      </c>
      <c r="G1243" s="186">
        <v>3.4972705980000001</v>
      </c>
    </row>
    <row r="1244" spans="1:7" ht="14.4">
      <c r="A1244" s="186">
        <v>1243</v>
      </c>
      <c r="B1244" s="186" t="s">
        <v>565</v>
      </c>
      <c r="C1244" s="186" t="s">
        <v>1513</v>
      </c>
      <c r="D1244" s="186">
        <v>187</v>
      </c>
      <c r="E1244" s="186">
        <v>6.43</v>
      </c>
      <c r="F1244" s="186">
        <v>6.46</v>
      </c>
      <c r="G1244" s="186">
        <v>3.4972705980000001</v>
      </c>
    </row>
    <row r="1245" spans="1:7" ht="14.4">
      <c r="A1245" s="186">
        <v>1244</v>
      </c>
      <c r="B1245" s="186" t="s">
        <v>565</v>
      </c>
      <c r="C1245" s="186" t="s">
        <v>1514</v>
      </c>
      <c r="D1245" s="186">
        <v>28.9</v>
      </c>
      <c r="E1245" s="186" t="s">
        <v>152</v>
      </c>
      <c r="F1245" s="186">
        <v>6.46</v>
      </c>
      <c r="G1245" s="186">
        <v>3.4972705980000001</v>
      </c>
    </row>
    <row r="1246" spans="1:7" ht="14.4">
      <c r="A1246" s="186">
        <v>1245</v>
      </c>
      <c r="B1246" s="186" t="s">
        <v>340</v>
      </c>
      <c r="C1246" s="186" t="s">
        <v>1515</v>
      </c>
      <c r="D1246" s="186">
        <v>94.3</v>
      </c>
      <c r="E1246" s="186">
        <v>6.81</v>
      </c>
      <c r="F1246" s="186">
        <v>6.46</v>
      </c>
      <c r="G1246" s="186">
        <v>3.4972705980000001</v>
      </c>
    </row>
    <row r="1247" spans="1:7" ht="14.4">
      <c r="A1247" s="186">
        <v>1246</v>
      </c>
      <c r="B1247" s="186" t="s">
        <v>234</v>
      </c>
      <c r="C1247" s="186" t="s">
        <v>1516</v>
      </c>
      <c r="D1247" s="186">
        <v>258.39999999999998</v>
      </c>
      <c r="E1247" s="186">
        <v>6.85</v>
      </c>
      <c r="F1247" s="186">
        <v>6.47</v>
      </c>
      <c r="G1247" s="186">
        <v>3.5038465759999999</v>
      </c>
    </row>
    <row r="1248" spans="1:7" ht="14.4">
      <c r="A1248" s="186">
        <v>1247</v>
      </c>
      <c r="B1248" s="186" t="s">
        <v>175</v>
      </c>
      <c r="C1248" s="186" t="s">
        <v>1517</v>
      </c>
      <c r="D1248" s="186">
        <v>185.1</v>
      </c>
      <c r="E1248" s="186">
        <v>6.57</v>
      </c>
      <c r="F1248" s="186">
        <v>6.47</v>
      </c>
      <c r="G1248" s="186">
        <v>3.5038465759999999</v>
      </c>
    </row>
    <row r="1249" spans="1:7" ht="14.4">
      <c r="A1249" s="186">
        <v>1248</v>
      </c>
      <c r="B1249" s="186" t="s">
        <v>553</v>
      </c>
      <c r="C1249" s="186" t="s">
        <v>1518</v>
      </c>
      <c r="D1249" s="186">
        <v>179.7</v>
      </c>
      <c r="E1249" s="186">
        <v>6.49</v>
      </c>
      <c r="F1249" s="186">
        <v>6.47</v>
      </c>
      <c r="G1249" s="186">
        <v>3.5038465759999999</v>
      </c>
    </row>
    <row r="1250" spans="1:7" ht="14.4">
      <c r="A1250" s="186">
        <v>1249</v>
      </c>
      <c r="B1250" s="186" t="s">
        <v>1323</v>
      </c>
      <c r="C1250" s="186" t="s">
        <v>1519</v>
      </c>
      <c r="D1250" s="186">
        <v>806.4</v>
      </c>
      <c r="E1250" s="186">
        <v>6.84</v>
      </c>
      <c r="F1250" s="186">
        <v>6.47</v>
      </c>
      <c r="G1250" s="186">
        <v>3.5038465759999999</v>
      </c>
    </row>
    <row r="1251" spans="1:7" ht="14.4">
      <c r="A1251" s="186">
        <v>1250</v>
      </c>
      <c r="B1251" s="186" t="s">
        <v>415</v>
      </c>
      <c r="C1251" s="186" t="s">
        <v>1520</v>
      </c>
      <c r="D1251" s="187">
        <v>1161.4000000000001</v>
      </c>
      <c r="E1251" s="186">
        <v>6.76</v>
      </c>
      <c r="F1251" s="186">
        <v>6.47</v>
      </c>
      <c r="G1251" s="186">
        <v>3.5038465759999999</v>
      </c>
    </row>
    <row r="1252" spans="1:7" ht="14.4">
      <c r="A1252" s="186">
        <v>1251</v>
      </c>
      <c r="B1252" s="186" t="s">
        <v>1228</v>
      </c>
      <c r="C1252" s="186" t="s">
        <v>1521</v>
      </c>
      <c r="D1252" s="186">
        <v>477.2</v>
      </c>
      <c r="E1252" s="186">
        <v>6.72</v>
      </c>
      <c r="F1252" s="186">
        <v>6.49</v>
      </c>
      <c r="G1252" s="186">
        <v>3.5170337890000001</v>
      </c>
    </row>
    <row r="1253" spans="1:7" ht="14.4">
      <c r="A1253" s="186">
        <v>1252</v>
      </c>
      <c r="B1253" s="186" t="s">
        <v>124</v>
      </c>
      <c r="C1253" s="186" t="s">
        <v>1522</v>
      </c>
      <c r="D1253" s="186">
        <v>154</v>
      </c>
      <c r="E1253" s="186">
        <v>6.91</v>
      </c>
      <c r="F1253" s="186">
        <v>6.49</v>
      </c>
      <c r="G1253" s="186">
        <v>3.5170337890000001</v>
      </c>
    </row>
    <row r="1254" spans="1:7" ht="14.4">
      <c r="A1254" s="186">
        <v>1253</v>
      </c>
      <c r="B1254" s="186" t="s">
        <v>303</v>
      </c>
      <c r="C1254" s="186" t="s">
        <v>1523</v>
      </c>
      <c r="D1254" s="186">
        <v>44.1</v>
      </c>
      <c r="E1254" s="186">
        <v>6.94</v>
      </c>
      <c r="F1254" s="186">
        <v>6.49</v>
      </c>
      <c r="G1254" s="186">
        <v>3.5170337890000001</v>
      </c>
    </row>
    <row r="1255" spans="1:7" ht="14.4">
      <c r="A1255" s="186">
        <v>1254</v>
      </c>
      <c r="B1255" s="186" t="s">
        <v>175</v>
      </c>
      <c r="C1255" s="186" t="s">
        <v>1524</v>
      </c>
      <c r="D1255" s="186">
        <v>39.700000000000003</v>
      </c>
      <c r="E1255" s="186">
        <v>6.16</v>
      </c>
      <c r="F1255" s="186">
        <v>6.49</v>
      </c>
      <c r="G1255" s="186">
        <v>3.5170337890000001</v>
      </c>
    </row>
    <row r="1256" spans="1:7" ht="14.4">
      <c r="A1256" s="186">
        <v>1255</v>
      </c>
      <c r="B1256" s="186" t="s">
        <v>210</v>
      </c>
      <c r="C1256" s="186" t="s">
        <v>1525</v>
      </c>
      <c r="D1256" s="186">
        <v>10.4</v>
      </c>
      <c r="E1256" s="186">
        <v>6.85</v>
      </c>
      <c r="F1256" s="186">
        <v>6.49</v>
      </c>
      <c r="G1256" s="186">
        <v>3.5170337890000001</v>
      </c>
    </row>
    <row r="1257" spans="1:7" ht="14.4">
      <c r="A1257" s="186">
        <v>1256</v>
      </c>
      <c r="B1257" s="186" t="s">
        <v>1526</v>
      </c>
      <c r="C1257" s="186" t="s">
        <v>1527</v>
      </c>
      <c r="D1257" s="186">
        <v>75.7</v>
      </c>
      <c r="E1257" s="186">
        <v>6.43</v>
      </c>
      <c r="F1257" s="186">
        <v>6.49</v>
      </c>
      <c r="G1257" s="186">
        <v>3.5170337890000001</v>
      </c>
    </row>
    <row r="1258" spans="1:7" ht="14.4">
      <c r="A1258" s="186">
        <v>1257</v>
      </c>
      <c r="B1258" s="186" t="s">
        <v>1528</v>
      </c>
      <c r="C1258" s="186" t="s">
        <v>1529</v>
      </c>
      <c r="D1258" s="187">
        <v>4680.7</v>
      </c>
      <c r="E1258" s="186">
        <v>6.74</v>
      </c>
      <c r="F1258" s="186">
        <v>6.49</v>
      </c>
      <c r="G1258" s="186">
        <v>3.5170337890000001</v>
      </c>
    </row>
    <row r="1259" spans="1:7" ht="14.4">
      <c r="A1259" s="186">
        <v>1258</v>
      </c>
      <c r="B1259" s="186" t="s">
        <v>352</v>
      </c>
      <c r="C1259" s="944" t="s">
        <v>1530</v>
      </c>
      <c r="D1259" s="186">
        <v>186.2</v>
      </c>
      <c r="E1259" s="186">
        <v>6.79</v>
      </c>
      <c r="F1259" s="186">
        <v>6.49</v>
      </c>
      <c r="G1259" s="186">
        <v>3.5170337890000001</v>
      </c>
    </row>
    <row r="1260" spans="1:7" ht="14.4">
      <c r="A1260" s="186">
        <v>1259</v>
      </c>
      <c r="B1260" s="186" t="s">
        <v>138</v>
      </c>
      <c r="C1260" s="186" t="s">
        <v>1531</v>
      </c>
      <c r="D1260" s="187">
        <v>5505.6</v>
      </c>
      <c r="E1260" s="186">
        <v>7</v>
      </c>
      <c r="F1260" s="186">
        <v>6.5</v>
      </c>
      <c r="G1260" s="186">
        <v>3.5236450640000001</v>
      </c>
    </row>
    <row r="1261" spans="1:7" ht="14.4">
      <c r="A1261" s="186">
        <v>1260</v>
      </c>
      <c r="B1261" s="186" t="s">
        <v>138</v>
      </c>
      <c r="C1261" s="186" t="s">
        <v>1532</v>
      </c>
      <c r="D1261" s="186">
        <v>238</v>
      </c>
      <c r="E1261" s="186">
        <v>6.9</v>
      </c>
      <c r="F1261" s="186">
        <v>6.5</v>
      </c>
      <c r="G1261" s="186">
        <v>3.5236450640000001</v>
      </c>
    </row>
    <row r="1262" spans="1:7" ht="14.4">
      <c r="A1262" s="186">
        <v>1261</v>
      </c>
      <c r="B1262" s="186" t="s">
        <v>271</v>
      </c>
      <c r="C1262" s="186" t="s">
        <v>1533</v>
      </c>
      <c r="D1262" s="186">
        <v>194.4</v>
      </c>
      <c r="E1262" s="186">
        <v>6.59</v>
      </c>
      <c r="F1262" s="186">
        <v>6.5</v>
      </c>
      <c r="G1262" s="186">
        <v>3.5236450640000001</v>
      </c>
    </row>
    <row r="1263" spans="1:7" ht="14.4">
      <c r="A1263" s="186">
        <v>1262</v>
      </c>
      <c r="B1263" s="186" t="s">
        <v>162</v>
      </c>
      <c r="C1263" s="186" t="s">
        <v>1534</v>
      </c>
      <c r="D1263" s="186">
        <v>1.6</v>
      </c>
      <c r="E1263" s="186">
        <v>6.57</v>
      </c>
      <c r="F1263" s="186">
        <v>6.5</v>
      </c>
      <c r="G1263" s="186">
        <v>3.5236450640000001</v>
      </c>
    </row>
    <row r="1264" spans="1:7" ht="14.4">
      <c r="A1264" s="186">
        <v>1263</v>
      </c>
      <c r="B1264" s="186" t="s">
        <v>303</v>
      </c>
      <c r="C1264" s="186" t="s">
        <v>1535</v>
      </c>
      <c r="D1264" s="186">
        <v>140.19999999999999</v>
      </c>
      <c r="E1264" s="186">
        <v>6.69</v>
      </c>
      <c r="F1264" s="186">
        <v>6.5</v>
      </c>
      <c r="G1264" s="186">
        <v>3.5236450640000001</v>
      </c>
    </row>
    <row r="1265" spans="1:7" ht="14.4">
      <c r="A1265" s="186">
        <v>1264</v>
      </c>
      <c r="B1265" s="186" t="s">
        <v>175</v>
      </c>
      <c r="C1265" s="186" t="s">
        <v>1536</v>
      </c>
      <c r="D1265" s="187">
        <v>2631.2</v>
      </c>
      <c r="E1265" s="186">
        <v>6.77</v>
      </c>
      <c r="F1265" s="186">
        <v>6.5</v>
      </c>
      <c r="G1265" s="186">
        <v>3.5236450640000001</v>
      </c>
    </row>
    <row r="1266" spans="1:7" ht="14.4">
      <c r="A1266" s="186">
        <v>1265</v>
      </c>
      <c r="B1266" s="186" t="s">
        <v>153</v>
      </c>
      <c r="C1266" s="186" t="s">
        <v>1537</v>
      </c>
      <c r="D1266" s="187">
        <v>3885.1</v>
      </c>
      <c r="E1266" s="186">
        <v>6.82</v>
      </c>
      <c r="F1266" s="186">
        <v>6.5</v>
      </c>
      <c r="G1266" s="186">
        <v>3.5236450640000001</v>
      </c>
    </row>
    <row r="1267" spans="1:7" ht="14.4">
      <c r="A1267" s="186">
        <v>1266</v>
      </c>
      <c r="B1267" s="186" t="s">
        <v>263</v>
      </c>
      <c r="C1267" s="186" t="s">
        <v>1538</v>
      </c>
      <c r="D1267" s="186">
        <v>40.799999999999997</v>
      </c>
      <c r="E1267" s="186">
        <v>6.55</v>
      </c>
      <c r="F1267" s="186">
        <v>6.5</v>
      </c>
      <c r="G1267" s="186">
        <v>3.5236450640000001</v>
      </c>
    </row>
    <row r="1268" spans="1:7" ht="14.4">
      <c r="A1268" s="186">
        <v>1267</v>
      </c>
      <c r="B1268" s="186" t="s">
        <v>415</v>
      </c>
      <c r="C1268" s="186" t="s">
        <v>1539</v>
      </c>
      <c r="D1268" s="187">
        <v>1026.9000000000001</v>
      </c>
      <c r="E1268" s="186">
        <v>6.78</v>
      </c>
      <c r="F1268" s="186">
        <v>6.5</v>
      </c>
      <c r="G1268" s="186">
        <v>3.5236450640000001</v>
      </c>
    </row>
    <row r="1269" spans="1:7" ht="14.4">
      <c r="A1269" s="186">
        <v>1268</v>
      </c>
      <c r="B1269" s="186" t="s">
        <v>112</v>
      </c>
      <c r="C1269" s="186" t="s">
        <v>1540</v>
      </c>
      <c r="D1269" s="187">
        <v>4605.3999999999996</v>
      </c>
      <c r="E1269" s="186">
        <v>6.81</v>
      </c>
      <c r="F1269" s="186">
        <v>6.51</v>
      </c>
      <c r="G1269" s="186">
        <v>3.5302681429999998</v>
      </c>
    </row>
    <row r="1270" spans="1:7" ht="14.4">
      <c r="A1270" s="186">
        <v>1269</v>
      </c>
      <c r="B1270" s="186" t="s">
        <v>175</v>
      </c>
      <c r="C1270" s="186" t="s">
        <v>1541</v>
      </c>
      <c r="D1270" s="186">
        <v>256.7</v>
      </c>
      <c r="E1270" s="186">
        <v>6.79</v>
      </c>
      <c r="F1270" s="186">
        <v>6.51</v>
      </c>
      <c r="G1270" s="186">
        <v>3.5302681429999998</v>
      </c>
    </row>
    <row r="1271" spans="1:7" ht="14.4">
      <c r="A1271" s="186">
        <v>1270</v>
      </c>
      <c r="B1271" s="186" t="s">
        <v>801</v>
      </c>
      <c r="C1271" s="186" t="s">
        <v>1542</v>
      </c>
      <c r="D1271" s="186">
        <v>39</v>
      </c>
      <c r="E1271" s="186">
        <v>6.31</v>
      </c>
      <c r="F1271" s="186">
        <v>6.51</v>
      </c>
      <c r="G1271" s="186">
        <v>3.5302681429999998</v>
      </c>
    </row>
    <row r="1272" spans="1:7" ht="14.4">
      <c r="A1272" s="186">
        <v>1271</v>
      </c>
      <c r="B1272" s="186" t="s">
        <v>440</v>
      </c>
      <c r="C1272" s="186" t="s">
        <v>1543</v>
      </c>
      <c r="D1272" s="186">
        <v>267</v>
      </c>
      <c r="E1272" s="186">
        <v>6.9</v>
      </c>
      <c r="F1272" s="186">
        <v>6.51</v>
      </c>
      <c r="G1272" s="186">
        <v>3.5302681429999998</v>
      </c>
    </row>
    <row r="1273" spans="1:7" ht="14.4">
      <c r="A1273" s="186">
        <v>1272</v>
      </c>
      <c r="B1273" s="186" t="s">
        <v>274</v>
      </c>
      <c r="C1273" s="186" t="s">
        <v>1544</v>
      </c>
      <c r="D1273" s="187">
        <v>1346.5</v>
      </c>
      <c r="E1273" s="186">
        <v>6.43</v>
      </c>
      <c r="F1273" s="186">
        <v>6.52</v>
      </c>
      <c r="G1273" s="186">
        <v>3.5369030480000001</v>
      </c>
    </row>
    <row r="1274" spans="1:7" ht="14.4">
      <c r="A1274" s="186">
        <v>1273</v>
      </c>
      <c r="B1274" s="186" t="s">
        <v>1545</v>
      </c>
      <c r="C1274" s="186" t="s">
        <v>1546</v>
      </c>
      <c r="D1274" s="186">
        <v>23</v>
      </c>
      <c r="E1274" s="186">
        <v>6.93</v>
      </c>
      <c r="F1274" s="186">
        <v>6.52</v>
      </c>
      <c r="G1274" s="186">
        <v>3.5369030480000001</v>
      </c>
    </row>
    <row r="1275" spans="1:7" ht="14.4">
      <c r="A1275" s="186">
        <v>1274</v>
      </c>
      <c r="B1275" s="186" t="s">
        <v>415</v>
      </c>
      <c r="C1275" s="186" t="s">
        <v>1547</v>
      </c>
      <c r="D1275" s="186">
        <v>195.2</v>
      </c>
      <c r="E1275" s="186">
        <v>6.39</v>
      </c>
      <c r="F1275" s="186">
        <v>6.52</v>
      </c>
      <c r="G1275" s="186">
        <v>3.5369030480000001</v>
      </c>
    </row>
    <row r="1276" spans="1:7" ht="14.4">
      <c r="A1276" s="186">
        <v>1275</v>
      </c>
      <c r="B1276" s="186" t="s">
        <v>1499</v>
      </c>
      <c r="C1276" s="186" t="s">
        <v>1548</v>
      </c>
      <c r="D1276" s="186">
        <v>96</v>
      </c>
      <c r="E1276" s="186">
        <v>6.81</v>
      </c>
      <c r="F1276" s="186">
        <v>6.52</v>
      </c>
      <c r="G1276" s="186">
        <v>3.5369030480000001</v>
      </c>
    </row>
    <row r="1277" spans="1:7" ht="14.4">
      <c r="A1277" s="186">
        <v>1276</v>
      </c>
      <c r="B1277" s="186" t="s">
        <v>512</v>
      </c>
      <c r="C1277" s="186" t="s">
        <v>1549</v>
      </c>
      <c r="D1277" s="187">
        <v>8052.9</v>
      </c>
      <c r="E1277" s="186">
        <v>6.81</v>
      </c>
      <c r="F1277" s="186">
        <v>6.52</v>
      </c>
      <c r="G1277" s="186">
        <v>3.5369030480000001</v>
      </c>
    </row>
    <row r="1278" spans="1:7" ht="14.4">
      <c r="A1278" s="186">
        <v>1277</v>
      </c>
      <c r="B1278" s="186" t="s">
        <v>335</v>
      </c>
      <c r="C1278" s="186" t="s">
        <v>1550</v>
      </c>
      <c r="D1278" s="186">
        <v>150.5</v>
      </c>
      <c r="E1278" s="186">
        <v>6.97</v>
      </c>
      <c r="F1278" s="186">
        <v>6.52</v>
      </c>
      <c r="G1278" s="186">
        <v>3.5369030480000001</v>
      </c>
    </row>
    <row r="1279" spans="1:7" ht="14.4">
      <c r="A1279" s="186">
        <v>1278</v>
      </c>
      <c r="B1279" s="186" t="s">
        <v>643</v>
      </c>
      <c r="C1279" s="186" t="s">
        <v>1551</v>
      </c>
      <c r="D1279" s="186">
        <v>7.2</v>
      </c>
      <c r="E1279" s="186">
        <v>6.92</v>
      </c>
      <c r="F1279" s="186">
        <v>6.52</v>
      </c>
      <c r="G1279" s="186">
        <v>3.5369030480000001</v>
      </c>
    </row>
    <row r="1280" spans="1:7" ht="14.4">
      <c r="A1280" s="186">
        <v>1279</v>
      </c>
      <c r="B1280" s="186" t="s">
        <v>271</v>
      </c>
      <c r="C1280" s="944" t="s">
        <v>1552</v>
      </c>
      <c r="D1280" s="186">
        <v>353.2</v>
      </c>
      <c r="E1280" s="186">
        <v>6.83</v>
      </c>
      <c r="F1280" s="186">
        <v>6.53</v>
      </c>
      <c r="G1280" s="186">
        <v>3.543549799</v>
      </c>
    </row>
    <row r="1281" spans="1:7" ht="14.4">
      <c r="A1281" s="186">
        <v>1280</v>
      </c>
      <c r="B1281" s="186" t="s">
        <v>178</v>
      </c>
      <c r="C1281" s="186" t="s">
        <v>1553</v>
      </c>
      <c r="D1281" s="187">
        <v>1835.6</v>
      </c>
      <c r="E1281" s="186">
        <v>6.51</v>
      </c>
      <c r="F1281" s="186">
        <v>6.53</v>
      </c>
      <c r="G1281" s="186">
        <v>3.543549799</v>
      </c>
    </row>
    <row r="1282" spans="1:7" ht="14.4">
      <c r="A1282" s="186">
        <v>1281</v>
      </c>
      <c r="B1282" s="186" t="s">
        <v>114</v>
      </c>
      <c r="C1282" s="186" t="s">
        <v>1554</v>
      </c>
      <c r="D1282" s="186">
        <v>81</v>
      </c>
      <c r="E1282" s="186">
        <v>6.35</v>
      </c>
      <c r="F1282" s="186">
        <v>6.53</v>
      </c>
      <c r="G1282" s="186">
        <v>3.543549799</v>
      </c>
    </row>
    <row r="1283" spans="1:7" ht="14.4">
      <c r="A1283" s="186">
        <v>1282</v>
      </c>
      <c r="B1283" s="186" t="s">
        <v>415</v>
      </c>
      <c r="C1283" s="186" t="s">
        <v>1555</v>
      </c>
      <c r="D1283" s="186">
        <v>130.69999999999999</v>
      </c>
      <c r="E1283" s="186">
        <v>6.65</v>
      </c>
      <c r="F1283" s="186">
        <v>6.53</v>
      </c>
      <c r="G1283" s="186">
        <v>3.543549799</v>
      </c>
    </row>
    <row r="1284" spans="1:7" ht="14.4">
      <c r="A1284" s="186">
        <v>1283</v>
      </c>
      <c r="B1284" s="186" t="s">
        <v>1556</v>
      </c>
      <c r="C1284" s="186" t="s">
        <v>1557</v>
      </c>
      <c r="D1284" s="186">
        <v>45.3</v>
      </c>
      <c r="E1284" s="186">
        <v>6.94</v>
      </c>
      <c r="F1284" s="186">
        <v>6.53</v>
      </c>
      <c r="G1284" s="186">
        <v>3.543549799</v>
      </c>
    </row>
    <row r="1285" spans="1:7" ht="14.4">
      <c r="A1285" s="186">
        <v>1284</v>
      </c>
      <c r="B1285" s="186" t="s">
        <v>1228</v>
      </c>
      <c r="C1285" s="186" t="s">
        <v>1558</v>
      </c>
      <c r="D1285" s="187">
        <v>1635</v>
      </c>
      <c r="E1285" s="186">
        <v>6.77</v>
      </c>
      <c r="F1285" s="186">
        <v>6.54</v>
      </c>
      <c r="G1285" s="186">
        <v>3.5502084140000001</v>
      </c>
    </row>
    <row r="1286" spans="1:7" ht="14.4">
      <c r="A1286" s="186">
        <v>1285</v>
      </c>
      <c r="B1286" s="186" t="s">
        <v>1559</v>
      </c>
      <c r="C1286" s="186" t="s">
        <v>1560</v>
      </c>
      <c r="D1286" s="186">
        <v>8.5</v>
      </c>
      <c r="E1286" s="186" t="s">
        <v>152</v>
      </c>
      <c r="F1286" s="186">
        <v>6.54</v>
      </c>
      <c r="G1286" s="186">
        <v>3.5502084140000001</v>
      </c>
    </row>
    <row r="1287" spans="1:7" ht="14.4">
      <c r="A1287" s="186">
        <v>1286</v>
      </c>
      <c r="B1287" s="186" t="s">
        <v>164</v>
      </c>
      <c r="C1287" s="186" t="s">
        <v>1561</v>
      </c>
      <c r="D1287" s="186">
        <v>244</v>
      </c>
      <c r="E1287" s="186">
        <v>6.87</v>
      </c>
      <c r="F1287" s="186">
        <v>6.54</v>
      </c>
      <c r="G1287" s="186">
        <v>3.5502084140000001</v>
      </c>
    </row>
    <row r="1288" spans="1:7" ht="14.4">
      <c r="A1288" s="186">
        <v>1287</v>
      </c>
      <c r="B1288" s="186" t="s">
        <v>365</v>
      </c>
      <c r="C1288" s="186" t="s">
        <v>1562</v>
      </c>
      <c r="D1288" s="186">
        <v>2.9</v>
      </c>
      <c r="E1288" s="186">
        <v>6.76</v>
      </c>
      <c r="F1288" s="186">
        <v>6.54</v>
      </c>
      <c r="G1288" s="186">
        <v>3.5502084140000001</v>
      </c>
    </row>
    <row r="1289" spans="1:7" ht="14.4">
      <c r="A1289" s="186">
        <v>1288</v>
      </c>
      <c r="B1289" s="186" t="s">
        <v>210</v>
      </c>
      <c r="C1289" s="186" t="s">
        <v>1563</v>
      </c>
      <c r="D1289" s="186">
        <v>20.7</v>
      </c>
      <c r="E1289" s="186">
        <v>6.58</v>
      </c>
      <c r="F1289" s="186">
        <v>6.54</v>
      </c>
      <c r="G1289" s="186">
        <v>3.5502084140000001</v>
      </c>
    </row>
    <row r="1290" spans="1:7" ht="14.4">
      <c r="A1290" s="186">
        <v>1289</v>
      </c>
      <c r="B1290" s="186" t="s">
        <v>488</v>
      </c>
      <c r="C1290" s="186" t="s">
        <v>1564</v>
      </c>
      <c r="D1290" s="186">
        <v>449.7</v>
      </c>
      <c r="E1290" s="186">
        <v>6.79</v>
      </c>
      <c r="F1290" s="186">
        <v>6.54</v>
      </c>
      <c r="G1290" s="186">
        <v>3.5502084140000001</v>
      </c>
    </row>
    <row r="1291" spans="1:7" ht="14.4">
      <c r="A1291" s="186">
        <v>1290</v>
      </c>
      <c r="B1291" s="186" t="s">
        <v>138</v>
      </c>
      <c r="C1291" s="186" t="s">
        <v>1565</v>
      </c>
      <c r="D1291" s="186">
        <v>0.9</v>
      </c>
      <c r="E1291" s="186">
        <v>6.92</v>
      </c>
      <c r="F1291" s="186">
        <v>6.55</v>
      </c>
      <c r="G1291" s="186">
        <v>3.556878915</v>
      </c>
    </row>
    <row r="1292" spans="1:7" ht="14.4">
      <c r="A1292" s="186">
        <v>1291</v>
      </c>
      <c r="B1292" s="186" t="s">
        <v>1228</v>
      </c>
      <c r="C1292" s="186" t="s">
        <v>1566</v>
      </c>
      <c r="D1292" s="186">
        <v>93.6</v>
      </c>
      <c r="E1292" s="186">
        <v>6.78</v>
      </c>
      <c r="F1292" s="186">
        <v>6.55</v>
      </c>
      <c r="G1292" s="186">
        <v>3.556878915</v>
      </c>
    </row>
    <row r="1293" spans="1:7" ht="14.4">
      <c r="A1293" s="186">
        <v>1292</v>
      </c>
      <c r="B1293" s="186" t="s">
        <v>1228</v>
      </c>
      <c r="C1293" s="186" t="s">
        <v>1567</v>
      </c>
      <c r="D1293" s="186">
        <v>731.8</v>
      </c>
      <c r="E1293" s="186">
        <v>6.79</v>
      </c>
      <c r="F1293" s="186">
        <v>6.55</v>
      </c>
      <c r="G1293" s="186">
        <v>3.556878915</v>
      </c>
    </row>
    <row r="1294" spans="1:7" ht="14.4">
      <c r="A1294" s="186">
        <v>1293</v>
      </c>
      <c r="B1294" s="186" t="s">
        <v>178</v>
      </c>
      <c r="C1294" s="186" t="s">
        <v>1568</v>
      </c>
      <c r="D1294" s="186">
        <v>62.3</v>
      </c>
      <c r="E1294" s="186">
        <v>6.83</v>
      </c>
      <c r="F1294" s="186">
        <v>6.55</v>
      </c>
      <c r="G1294" s="186">
        <v>3.556878915</v>
      </c>
    </row>
    <row r="1295" spans="1:7" ht="14.4">
      <c r="A1295" s="186">
        <v>1294</v>
      </c>
      <c r="B1295" s="186" t="s">
        <v>834</v>
      </c>
      <c r="C1295" s="186" t="s">
        <v>1569</v>
      </c>
      <c r="D1295" s="186">
        <v>320.5</v>
      </c>
      <c r="E1295" s="186">
        <v>6.89</v>
      </c>
      <c r="F1295" s="186">
        <v>6.55</v>
      </c>
      <c r="G1295" s="186">
        <v>3.556878915</v>
      </c>
    </row>
    <row r="1296" spans="1:7" ht="14.4">
      <c r="A1296" s="186">
        <v>1295</v>
      </c>
      <c r="B1296" s="186" t="s">
        <v>311</v>
      </c>
      <c r="C1296" s="186" t="s">
        <v>1570</v>
      </c>
      <c r="D1296" s="186">
        <v>16.8</v>
      </c>
      <c r="E1296" s="186">
        <v>6.85</v>
      </c>
      <c r="F1296" s="186">
        <v>6.55</v>
      </c>
      <c r="G1296" s="186">
        <v>3.556878915</v>
      </c>
    </row>
    <row r="1297" spans="1:7" ht="14.4">
      <c r="A1297" s="186">
        <v>1296</v>
      </c>
      <c r="B1297" s="186" t="s">
        <v>340</v>
      </c>
      <c r="C1297" s="186" t="s">
        <v>1571</v>
      </c>
      <c r="D1297" s="187">
        <v>1133.0999999999999</v>
      </c>
      <c r="E1297" s="186">
        <v>6.84</v>
      </c>
      <c r="F1297" s="186">
        <v>6.55</v>
      </c>
      <c r="G1297" s="186">
        <v>3.556878915</v>
      </c>
    </row>
    <row r="1298" spans="1:7" ht="14.4">
      <c r="A1298" s="186">
        <v>1297</v>
      </c>
      <c r="B1298" s="186" t="s">
        <v>178</v>
      </c>
      <c r="C1298" s="186" t="s">
        <v>1572</v>
      </c>
      <c r="D1298" s="186">
        <v>1.1000000000000001</v>
      </c>
      <c r="E1298" s="186">
        <v>6.71</v>
      </c>
      <c r="F1298" s="186">
        <v>6.56</v>
      </c>
      <c r="G1298" s="186">
        <v>3.563561322</v>
      </c>
    </row>
    <row r="1299" spans="1:7" ht="14.4">
      <c r="A1299" s="186">
        <v>1298</v>
      </c>
      <c r="B1299" s="186" t="s">
        <v>162</v>
      </c>
      <c r="C1299" s="186" t="s">
        <v>1573</v>
      </c>
      <c r="D1299" s="186">
        <v>68.599999999999994</v>
      </c>
      <c r="E1299" s="186">
        <v>7.05</v>
      </c>
      <c r="F1299" s="186">
        <v>6.56</v>
      </c>
      <c r="G1299" s="186">
        <v>3.563561322</v>
      </c>
    </row>
    <row r="1300" spans="1:7" ht="14.4">
      <c r="A1300" s="186">
        <v>1299</v>
      </c>
      <c r="B1300" s="186" t="s">
        <v>175</v>
      </c>
      <c r="C1300" s="186" t="s">
        <v>1574</v>
      </c>
      <c r="D1300" s="186">
        <v>773.6</v>
      </c>
      <c r="E1300" s="186">
        <v>6.45</v>
      </c>
      <c r="F1300" s="186">
        <v>6.56</v>
      </c>
      <c r="G1300" s="186">
        <v>3.563561322</v>
      </c>
    </row>
    <row r="1301" spans="1:7" ht="14.4">
      <c r="A1301" s="186">
        <v>1300</v>
      </c>
      <c r="B1301" s="186" t="s">
        <v>194</v>
      </c>
      <c r="C1301" s="186" t="s">
        <v>1575</v>
      </c>
      <c r="D1301" s="186">
        <v>84.1</v>
      </c>
      <c r="E1301" s="186">
        <v>6.93</v>
      </c>
      <c r="F1301" s="186">
        <v>6.56</v>
      </c>
      <c r="G1301" s="186">
        <v>3.563561322</v>
      </c>
    </row>
    <row r="1302" spans="1:7" ht="14.4">
      <c r="A1302" s="186">
        <v>1301</v>
      </c>
      <c r="B1302" s="186" t="s">
        <v>241</v>
      </c>
      <c r="C1302" s="186" t="s">
        <v>1576</v>
      </c>
      <c r="D1302" s="186">
        <v>0.7</v>
      </c>
      <c r="E1302" s="186">
        <v>6.68</v>
      </c>
      <c r="F1302" s="186">
        <v>6.57</v>
      </c>
      <c r="G1302" s="186">
        <v>3.5702556539999999</v>
      </c>
    </row>
    <row r="1303" spans="1:7" ht="14.4">
      <c r="A1303" s="186">
        <v>1302</v>
      </c>
      <c r="B1303" s="186" t="s">
        <v>178</v>
      </c>
      <c r="C1303" s="186" t="s">
        <v>1577</v>
      </c>
      <c r="D1303" s="186">
        <v>44.9</v>
      </c>
      <c r="E1303" s="186">
        <v>6.7</v>
      </c>
      <c r="F1303" s="186">
        <v>6.57</v>
      </c>
      <c r="G1303" s="186">
        <v>3.5702556539999999</v>
      </c>
    </row>
    <row r="1304" spans="1:7" ht="14.4">
      <c r="A1304" s="186">
        <v>1303</v>
      </c>
      <c r="B1304" s="186" t="s">
        <v>178</v>
      </c>
      <c r="C1304" s="186" t="s">
        <v>1578</v>
      </c>
      <c r="D1304" s="186">
        <v>556.6</v>
      </c>
      <c r="E1304" s="186">
        <v>6.44</v>
      </c>
      <c r="F1304" s="186">
        <v>6.57</v>
      </c>
      <c r="G1304" s="186">
        <v>3.5702556539999999</v>
      </c>
    </row>
    <row r="1305" spans="1:7" ht="14.4">
      <c r="A1305" s="186">
        <v>1304</v>
      </c>
      <c r="B1305" s="186" t="s">
        <v>483</v>
      </c>
      <c r="C1305" s="186" t="s">
        <v>1579</v>
      </c>
      <c r="D1305" s="186">
        <v>307.2</v>
      </c>
      <c r="E1305" s="186">
        <v>6.39</v>
      </c>
      <c r="F1305" s="186">
        <v>6.57</v>
      </c>
      <c r="G1305" s="186">
        <v>3.5702556539999999</v>
      </c>
    </row>
    <row r="1306" spans="1:7" ht="14.4">
      <c r="A1306" s="186">
        <v>1305</v>
      </c>
      <c r="B1306" s="186" t="s">
        <v>422</v>
      </c>
      <c r="C1306" s="186" t="s">
        <v>1580</v>
      </c>
      <c r="D1306" s="186">
        <v>218.2</v>
      </c>
      <c r="E1306" s="186">
        <v>6.87</v>
      </c>
      <c r="F1306" s="186">
        <v>6.57</v>
      </c>
      <c r="G1306" s="186">
        <v>3.5702556539999999</v>
      </c>
    </row>
    <row r="1307" spans="1:7" ht="14.4">
      <c r="A1307" s="186">
        <v>1306</v>
      </c>
      <c r="B1307" s="186" t="s">
        <v>175</v>
      </c>
      <c r="C1307" s="186" t="s">
        <v>1581</v>
      </c>
      <c r="D1307" s="186">
        <v>7.5</v>
      </c>
      <c r="E1307" s="186">
        <v>6.54</v>
      </c>
      <c r="F1307" s="186">
        <v>6.57</v>
      </c>
      <c r="G1307" s="186">
        <v>3.5702556539999999</v>
      </c>
    </row>
    <row r="1308" spans="1:7" ht="14.4">
      <c r="A1308" s="186">
        <v>1307</v>
      </c>
      <c r="B1308" s="186" t="s">
        <v>153</v>
      </c>
      <c r="C1308" s="186" t="s">
        <v>1582</v>
      </c>
      <c r="D1308" s="186">
        <v>562.79999999999995</v>
      </c>
      <c r="E1308" s="186">
        <v>6.89</v>
      </c>
      <c r="F1308" s="186">
        <v>6.57</v>
      </c>
      <c r="G1308" s="186">
        <v>3.5702556539999999</v>
      </c>
    </row>
    <row r="1309" spans="1:7" ht="14.4">
      <c r="A1309" s="186">
        <v>1308</v>
      </c>
      <c r="B1309" s="186" t="s">
        <v>415</v>
      </c>
      <c r="C1309" s="186" t="s">
        <v>1583</v>
      </c>
      <c r="D1309" s="186">
        <v>28.8</v>
      </c>
      <c r="E1309" s="186">
        <v>6.74</v>
      </c>
      <c r="F1309" s="186">
        <v>6.57</v>
      </c>
      <c r="G1309" s="186">
        <v>3.5702556539999999</v>
      </c>
    </row>
    <row r="1310" spans="1:7" ht="14.4">
      <c r="A1310" s="186">
        <v>1309</v>
      </c>
      <c r="B1310" s="186" t="s">
        <v>415</v>
      </c>
      <c r="C1310" s="186" t="s">
        <v>1584</v>
      </c>
      <c r="D1310" s="186">
        <v>175.9</v>
      </c>
      <c r="E1310" s="186">
        <v>6.73</v>
      </c>
      <c r="F1310" s="186">
        <v>6.57</v>
      </c>
      <c r="G1310" s="186">
        <v>3.5702556539999999</v>
      </c>
    </row>
    <row r="1311" spans="1:7" ht="14.4">
      <c r="A1311" s="186">
        <v>1310</v>
      </c>
      <c r="B1311" s="186" t="s">
        <v>335</v>
      </c>
      <c r="C1311" s="186" t="s">
        <v>1585</v>
      </c>
      <c r="D1311" s="187">
        <v>1182.2</v>
      </c>
      <c r="E1311" s="186">
        <v>6.41</v>
      </c>
      <c r="F1311" s="186">
        <v>6.57</v>
      </c>
      <c r="G1311" s="186">
        <v>3.5702556539999999</v>
      </c>
    </row>
    <row r="1312" spans="1:7" ht="14.4">
      <c r="A1312" s="186">
        <v>1311</v>
      </c>
      <c r="B1312" s="186" t="s">
        <v>1290</v>
      </c>
      <c r="C1312" s="186" t="s">
        <v>1586</v>
      </c>
      <c r="D1312" s="186">
        <v>3</v>
      </c>
      <c r="E1312" s="186">
        <v>6.72</v>
      </c>
      <c r="F1312" s="186">
        <v>6.57</v>
      </c>
      <c r="G1312" s="186">
        <v>3.5702556539999999</v>
      </c>
    </row>
    <row r="1313" spans="1:7" ht="14.4">
      <c r="A1313" s="186">
        <v>1312</v>
      </c>
      <c r="B1313" s="186" t="s">
        <v>340</v>
      </c>
      <c r="C1313" s="186" t="s">
        <v>1587</v>
      </c>
      <c r="D1313" s="186">
        <v>117.2</v>
      </c>
      <c r="E1313" s="186">
        <v>6.91</v>
      </c>
      <c r="F1313" s="186">
        <v>6.57</v>
      </c>
      <c r="G1313" s="186">
        <v>3.5702556539999999</v>
      </c>
    </row>
    <row r="1314" spans="1:7" ht="14.4">
      <c r="A1314" s="186">
        <v>1313</v>
      </c>
      <c r="B1314" s="186" t="s">
        <v>1228</v>
      </c>
      <c r="C1314" s="186" t="s">
        <v>1588</v>
      </c>
      <c r="D1314" s="186">
        <v>195.2</v>
      </c>
      <c r="E1314" s="186">
        <v>6.78</v>
      </c>
      <c r="F1314" s="186">
        <v>6.58</v>
      </c>
      <c r="G1314" s="186">
        <v>3.576961931</v>
      </c>
    </row>
    <row r="1315" spans="1:7" ht="14.4">
      <c r="A1315" s="186">
        <v>1314</v>
      </c>
      <c r="B1315" s="186" t="s">
        <v>178</v>
      </c>
      <c r="C1315" s="186" t="s">
        <v>1589</v>
      </c>
      <c r="D1315" s="186">
        <v>0.1</v>
      </c>
      <c r="E1315" s="186">
        <v>6.76</v>
      </c>
      <c r="F1315" s="186">
        <v>6.58</v>
      </c>
      <c r="G1315" s="186">
        <v>3.576961931</v>
      </c>
    </row>
    <row r="1316" spans="1:7" ht="14.4">
      <c r="A1316" s="186">
        <v>1315</v>
      </c>
      <c r="B1316" s="186" t="s">
        <v>178</v>
      </c>
      <c r="C1316" s="186" t="s">
        <v>1590</v>
      </c>
      <c r="D1316" s="186">
        <v>0.6</v>
      </c>
      <c r="E1316" s="186">
        <v>6.86</v>
      </c>
      <c r="F1316" s="186">
        <v>6.58</v>
      </c>
      <c r="G1316" s="186">
        <v>3.576961931</v>
      </c>
    </row>
    <row r="1317" spans="1:7" ht="14.4">
      <c r="A1317" s="186">
        <v>1316</v>
      </c>
      <c r="B1317" s="186" t="s">
        <v>187</v>
      </c>
      <c r="C1317" s="186" t="s">
        <v>1591</v>
      </c>
      <c r="D1317" s="187">
        <v>27263.7</v>
      </c>
      <c r="E1317" s="186">
        <v>6.88</v>
      </c>
      <c r="F1317" s="186">
        <v>6.58</v>
      </c>
      <c r="G1317" s="186">
        <v>3.576961931</v>
      </c>
    </row>
    <row r="1318" spans="1:7" ht="14.4">
      <c r="A1318" s="186">
        <v>1317</v>
      </c>
      <c r="B1318" s="186" t="s">
        <v>138</v>
      </c>
      <c r="C1318" s="186" t="s">
        <v>1592</v>
      </c>
      <c r="D1318" s="187">
        <v>2545.8000000000002</v>
      </c>
      <c r="E1318" s="186">
        <v>6.99</v>
      </c>
      <c r="F1318" s="186">
        <v>6.59</v>
      </c>
      <c r="G1318" s="186">
        <v>3.583680175</v>
      </c>
    </row>
    <row r="1319" spans="1:7" ht="14.4">
      <c r="A1319" s="186">
        <v>1318</v>
      </c>
      <c r="B1319" s="186" t="s">
        <v>162</v>
      </c>
      <c r="C1319" s="186" t="s">
        <v>1593</v>
      </c>
      <c r="D1319" s="186">
        <v>400.5</v>
      </c>
      <c r="E1319" s="186">
        <v>6.9</v>
      </c>
      <c r="F1319" s="186">
        <v>6.59</v>
      </c>
      <c r="G1319" s="186">
        <v>3.583680175</v>
      </c>
    </row>
    <row r="1320" spans="1:7" ht="14.4">
      <c r="A1320" s="186">
        <v>1319</v>
      </c>
      <c r="B1320" s="186" t="s">
        <v>286</v>
      </c>
      <c r="C1320" s="186" t="s">
        <v>1594</v>
      </c>
      <c r="D1320" s="187">
        <v>2209.6</v>
      </c>
      <c r="E1320" s="186">
        <v>6.89</v>
      </c>
      <c r="F1320" s="186">
        <v>6.59</v>
      </c>
      <c r="G1320" s="186">
        <v>3.583680175</v>
      </c>
    </row>
    <row r="1321" spans="1:7" ht="14.4">
      <c r="A1321" s="186">
        <v>1320</v>
      </c>
      <c r="B1321" s="186" t="s">
        <v>422</v>
      </c>
      <c r="C1321" s="186" t="s">
        <v>1595</v>
      </c>
      <c r="D1321" s="186">
        <v>18.100000000000001</v>
      </c>
      <c r="E1321" s="186">
        <v>6.77</v>
      </c>
      <c r="F1321" s="186">
        <v>6.59</v>
      </c>
      <c r="G1321" s="186">
        <v>3.583680175</v>
      </c>
    </row>
    <row r="1322" spans="1:7" ht="14.4">
      <c r="A1322" s="186">
        <v>1321</v>
      </c>
      <c r="B1322" s="186" t="s">
        <v>210</v>
      </c>
      <c r="C1322" s="186" t="s">
        <v>1596</v>
      </c>
      <c r="D1322" s="187">
        <v>3161.8</v>
      </c>
      <c r="E1322" s="186">
        <v>6.59</v>
      </c>
      <c r="F1322" s="186">
        <v>6.59</v>
      </c>
      <c r="G1322" s="186">
        <v>3.583680175</v>
      </c>
    </row>
    <row r="1323" spans="1:7" ht="14.4">
      <c r="A1323" s="186">
        <v>1322</v>
      </c>
      <c r="B1323" s="186" t="s">
        <v>288</v>
      </c>
      <c r="C1323" s="186" t="s">
        <v>1597</v>
      </c>
      <c r="D1323" s="186">
        <v>79.5</v>
      </c>
      <c r="E1323" s="186">
        <v>6.86</v>
      </c>
      <c r="F1323" s="186">
        <v>6.59</v>
      </c>
      <c r="G1323" s="186">
        <v>3.583680175</v>
      </c>
    </row>
    <row r="1324" spans="1:7" ht="14.4">
      <c r="A1324" s="186">
        <v>1323</v>
      </c>
      <c r="B1324" s="186" t="s">
        <v>118</v>
      </c>
      <c r="C1324" s="186" t="s">
        <v>1598</v>
      </c>
      <c r="D1324" s="187">
        <v>4633</v>
      </c>
      <c r="E1324" s="186">
        <v>6.57</v>
      </c>
      <c r="F1324" s="186">
        <v>6.59</v>
      </c>
      <c r="G1324" s="186">
        <v>3.583680175</v>
      </c>
    </row>
    <row r="1325" spans="1:7" ht="14.4">
      <c r="A1325" s="186">
        <v>1324</v>
      </c>
      <c r="B1325" s="186" t="s">
        <v>187</v>
      </c>
      <c r="C1325" s="186" t="s">
        <v>1599</v>
      </c>
      <c r="D1325" s="187">
        <v>2448.1</v>
      </c>
      <c r="E1325" s="186">
        <v>6.76</v>
      </c>
      <c r="F1325" s="186">
        <v>6.59</v>
      </c>
      <c r="G1325" s="186">
        <v>3.583680175</v>
      </c>
    </row>
    <row r="1326" spans="1:7" ht="14.4">
      <c r="A1326" s="186">
        <v>1325</v>
      </c>
      <c r="B1326" s="186" t="s">
        <v>280</v>
      </c>
      <c r="C1326" s="186" t="s">
        <v>1600</v>
      </c>
      <c r="D1326" s="186">
        <v>1.7</v>
      </c>
      <c r="E1326" s="186">
        <v>6.21</v>
      </c>
      <c r="F1326" s="186">
        <v>6.59</v>
      </c>
      <c r="G1326" s="186">
        <v>3.583680175</v>
      </c>
    </row>
    <row r="1327" spans="1:7" ht="14.4">
      <c r="A1327" s="186">
        <v>1326</v>
      </c>
      <c r="B1327" s="186" t="s">
        <v>565</v>
      </c>
      <c r="C1327" s="186" t="s">
        <v>1601</v>
      </c>
      <c r="D1327" s="186">
        <v>194.5</v>
      </c>
      <c r="E1327" s="186">
        <v>6.77</v>
      </c>
      <c r="F1327" s="186">
        <v>6.59</v>
      </c>
      <c r="G1327" s="186">
        <v>3.583680175</v>
      </c>
    </row>
    <row r="1328" spans="1:7" ht="14.4">
      <c r="A1328" s="186">
        <v>1327</v>
      </c>
      <c r="B1328" s="186" t="s">
        <v>138</v>
      </c>
      <c r="C1328" s="186" t="s">
        <v>1602</v>
      </c>
      <c r="D1328" s="186">
        <v>181.9</v>
      </c>
      <c r="E1328" s="186">
        <v>6.95</v>
      </c>
      <c r="F1328" s="186">
        <v>6.6</v>
      </c>
      <c r="G1328" s="186">
        <v>3.5904104050000001</v>
      </c>
    </row>
    <row r="1329" spans="1:7" ht="14.4">
      <c r="A1329" s="186">
        <v>1328</v>
      </c>
      <c r="B1329" s="186" t="s">
        <v>122</v>
      </c>
      <c r="C1329" s="186" t="s">
        <v>1603</v>
      </c>
      <c r="D1329" s="186">
        <v>819.1</v>
      </c>
      <c r="E1329" s="186">
        <v>6.74</v>
      </c>
      <c r="F1329" s="186">
        <v>6.6</v>
      </c>
      <c r="G1329" s="186">
        <v>3.5904104050000001</v>
      </c>
    </row>
    <row r="1330" spans="1:7" ht="14.4">
      <c r="A1330" s="186">
        <v>1329</v>
      </c>
      <c r="B1330" s="186" t="s">
        <v>1102</v>
      </c>
      <c r="C1330" s="186" t="s">
        <v>1604</v>
      </c>
      <c r="D1330" s="186">
        <v>66.7</v>
      </c>
      <c r="E1330" s="186">
        <v>6.67</v>
      </c>
      <c r="F1330" s="186">
        <v>6.6</v>
      </c>
      <c r="G1330" s="186">
        <v>3.5904104050000001</v>
      </c>
    </row>
    <row r="1331" spans="1:7" ht="14.4">
      <c r="A1331" s="186">
        <v>1330</v>
      </c>
      <c r="B1331" s="186" t="s">
        <v>1605</v>
      </c>
      <c r="C1331" s="186" t="s">
        <v>1606</v>
      </c>
      <c r="D1331" s="186">
        <v>276.60000000000002</v>
      </c>
      <c r="E1331" s="186">
        <v>6.77</v>
      </c>
      <c r="F1331" s="186">
        <v>6.6</v>
      </c>
      <c r="G1331" s="186">
        <v>3.5904104050000001</v>
      </c>
    </row>
    <row r="1332" spans="1:7" ht="14.4">
      <c r="A1332" s="186">
        <v>1331</v>
      </c>
      <c r="B1332" s="186" t="s">
        <v>307</v>
      </c>
      <c r="C1332" s="186" t="s">
        <v>1607</v>
      </c>
      <c r="D1332" s="186">
        <v>163.69999999999999</v>
      </c>
      <c r="E1332" s="186">
        <v>6.25</v>
      </c>
      <c r="F1332" s="186">
        <v>6.6</v>
      </c>
      <c r="G1332" s="186">
        <v>3.5904104050000001</v>
      </c>
    </row>
    <row r="1333" spans="1:7" ht="14.4">
      <c r="A1333" s="186">
        <v>1332</v>
      </c>
      <c r="B1333" s="186" t="s">
        <v>288</v>
      </c>
      <c r="C1333" s="944" t="s">
        <v>1608</v>
      </c>
      <c r="D1333" s="186">
        <v>745.2</v>
      </c>
      <c r="E1333" s="186">
        <v>6.9</v>
      </c>
      <c r="F1333" s="186">
        <v>6.6</v>
      </c>
      <c r="G1333" s="186">
        <v>3.5904104050000001</v>
      </c>
    </row>
    <row r="1334" spans="1:7" ht="14.4">
      <c r="A1334" s="186">
        <v>1333</v>
      </c>
      <c r="B1334" s="186" t="s">
        <v>948</v>
      </c>
      <c r="C1334" s="186" t="s">
        <v>1609</v>
      </c>
      <c r="D1334" s="186">
        <v>2.5</v>
      </c>
      <c r="E1334" s="186">
        <v>6.67</v>
      </c>
      <c r="F1334" s="186">
        <v>6.6</v>
      </c>
      <c r="G1334" s="186">
        <v>3.5904104050000001</v>
      </c>
    </row>
    <row r="1335" spans="1:7" ht="14.4">
      <c r="A1335" s="186">
        <v>1334</v>
      </c>
      <c r="B1335" s="186" t="s">
        <v>234</v>
      </c>
      <c r="C1335" s="186" t="s">
        <v>1610</v>
      </c>
      <c r="D1335" s="186">
        <v>24.2</v>
      </c>
      <c r="E1335" s="186">
        <v>6.93</v>
      </c>
      <c r="F1335" s="186">
        <v>6.61</v>
      </c>
      <c r="G1335" s="186">
        <v>3.5971526410000001</v>
      </c>
    </row>
    <row r="1336" spans="1:7" ht="14.4">
      <c r="A1336" s="186">
        <v>1335</v>
      </c>
      <c r="B1336" s="186" t="s">
        <v>1228</v>
      </c>
      <c r="C1336" s="186" t="s">
        <v>1611</v>
      </c>
      <c r="D1336" s="186">
        <v>67</v>
      </c>
      <c r="E1336" s="186">
        <v>6.55</v>
      </c>
      <c r="F1336" s="186">
        <v>6.61</v>
      </c>
      <c r="G1336" s="186">
        <v>3.5971526410000001</v>
      </c>
    </row>
    <row r="1337" spans="1:7" ht="14.4">
      <c r="A1337" s="186">
        <v>1336</v>
      </c>
      <c r="B1337" s="186" t="s">
        <v>271</v>
      </c>
      <c r="C1337" s="186" t="s">
        <v>1612</v>
      </c>
      <c r="D1337" s="186">
        <v>9.6999999999999993</v>
      </c>
      <c r="E1337" s="186">
        <v>6.98</v>
      </c>
      <c r="F1337" s="186">
        <v>6.61</v>
      </c>
      <c r="G1337" s="186">
        <v>3.5971526410000001</v>
      </c>
    </row>
    <row r="1338" spans="1:7" ht="14.4">
      <c r="A1338" s="186">
        <v>1337</v>
      </c>
      <c r="B1338" s="186" t="s">
        <v>1008</v>
      </c>
      <c r="C1338" s="186" t="s">
        <v>1613</v>
      </c>
      <c r="D1338" s="186">
        <v>18.2</v>
      </c>
      <c r="E1338" s="186">
        <v>6.64</v>
      </c>
      <c r="F1338" s="186">
        <v>6.61</v>
      </c>
      <c r="G1338" s="186">
        <v>3.5971526410000001</v>
      </c>
    </row>
    <row r="1339" spans="1:7" ht="14.4">
      <c r="A1339" s="186">
        <v>1338</v>
      </c>
      <c r="B1339" s="186" t="s">
        <v>178</v>
      </c>
      <c r="C1339" s="186" t="s">
        <v>1614</v>
      </c>
      <c r="D1339" s="186">
        <v>0.1</v>
      </c>
      <c r="E1339" s="186">
        <v>6.79</v>
      </c>
      <c r="F1339" s="186">
        <v>6.61</v>
      </c>
      <c r="G1339" s="186">
        <v>3.5971526410000001</v>
      </c>
    </row>
    <row r="1340" spans="1:7" ht="14.4">
      <c r="A1340" s="186">
        <v>1339</v>
      </c>
      <c r="B1340" s="186" t="s">
        <v>178</v>
      </c>
      <c r="C1340" s="186" t="s">
        <v>1615</v>
      </c>
      <c r="D1340" s="186">
        <v>9.1999999999999993</v>
      </c>
      <c r="E1340" s="186">
        <v>6.89</v>
      </c>
      <c r="F1340" s="186">
        <v>6.61</v>
      </c>
      <c r="G1340" s="186">
        <v>3.5971526410000001</v>
      </c>
    </row>
    <row r="1341" spans="1:7" ht="14.4">
      <c r="A1341" s="186">
        <v>1340</v>
      </c>
      <c r="B1341" s="186" t="s">
        <v>162</v>
      </c>
      <c r="C1341" s="186" t="s">
        <v>1616</v>
      </c>
      <c r="D1341" s="186">
        <v>16.899999999999999</v>
      </c>
      <c r="E1341" s="186">
        <v>7.1</v>
      </c>
      <c r="F1341" s="186">
        <v>6.61</v>
      </c>
      <c r="G1341" s="186">
        <v>3.5971526410000001</v>
      </c>
    </row>
    <row r="1342" spans="1:7" ht="14.4">
      <c r="A1342" s="186">
        <v>1341</v>
      </c>
      <c r="B1342" s="186" t="s">
        <v>422</v>
      </c>
      <c r="C1342" s="186" t="s">
        <v>1617</v>
      </c>
      <c r="D1342" s="186">
        <v>227.9</v>
      </c>
      <c r="E1342" s="186">
        <v>6.76</v>
      </c>
      <c r="F1342" s="186">
        <v>6.61</v>
      </c>
      <c r="G1342" s="186">
        <v>3.5971526410000001</v>
      </c>
    </row>
    <row r="1343" spans="1:7" ht="14.4">
      <c r="A1343" s="186">
        <v>1342</v>
      </c>
      <c r="B1343" s="186" t="s">
        <v>245</v>
      </c>
      <c r="C1343" s="944" t="s">
        <v>1618</v>
      </c>
      <c r="D1343" s="187">
        <v>3162.5</v>
      </c>
      <c r="E1343" s="186">
        <v>6.91</v>
      </c>
      <c r="F1343" s="186">
        <v>6.61</v>
      </c>
      <c r="G1343" s="186">
        <v>3.5971526410000001</v>
      </c>
    </row>
    <row r="1344" spans="1:7" ht="14.4">
      <c r="A1344" s="186">
        <v>1343</v>
      </c>
      <c r="B1344" s="186" t="s">
        <v>565</v>
      </c>
      <c r="C1344" s="186" t="s">
        <v>1619</v>
      </c>
      <c r="D1344" s="186">
        <v>736.3</v>
      </c>
      <c r="E1344" s="186">
        <v>6.79</v>
      </c>
      <c r="F1344" s="186">
        <v>6.61</v>
      </c>
      <c r="G1344" s="186">
        <v>3.5971526410000001</v>
      </c>
    </row>
    <row r="1345" spans="1:7" ht="14.4">
      <c r="A1345" s="186">
        <v>1344</v>
      </c>
      <c r="B1345" s="186" t="s">
        <v>241</v>
      </c>
      <c r="C1345" s="186" t="s">
        <v>1620</v>
      </c>
      <c r="D1345" s="186">
        <v>10.199999999999999</v>
      </c>
      <c r="E1345" s="186">
        <v>6.73</v>
      </c>
      <c r="F1345" s="186">
        <v>6.62</v>
      </c>
      <c r="G1345" s="186">
        <v>3.603906904</v>
      </c>
    </row>
    <row r="1346" spans="1:7" ht="14.4">
      <c r="A1346" s="186">
        <v>1345</v>
      </c>
      <c r="B1346" s="186" t="s">
        <v>1228</v>
      </c>
      <c r="C1346" s="186" t="s">
        <v>1621</v>
      </c>
      <c r="D1346" s="186">
        <v>251</v>
      </c>
      <c r="E1346" s="186">
        <v>6.82</v>
      </c>
      <c r="F1346" s="186">
        <v>6.62</v>
      </c>
      <c r="G1346" s="186">
        <v>3.603906904</v>
      </c>
    </row>
    <row r="1347" spans="1:7" ht="14.4">
      <c r="A1347" s="186">
        <v>1346</v>
      </c>
      <c r="B1347" s="186" t="s">
        <v>1228</v>
      </c>
      <c r="C1347" s="186" t="s">
        <v>1622</v>
      </c>
      <c r="D1347" s="187">
        <v>4721.6000000000004</v>
      </c>
      <c r="E1347" s="186">
        <v>6.56</v>
      </c>
      <c r="F1347" s="186">
        <v>6.62</v>
      </c>
      <c r="G1347" s="186">
        <v>3.603906904</v>
      </c>
    </row>
    <row r="1348" spans="1:7" ht="14.4">
      <c r="A1348" s="186">
        <v>1347</v>
      </c>
      <c r="B1348" s="186" t="s">
        <v>712</v>
      </c>
      <c r="C1348" s="186" t="s">
        <v>1623</v>
      </c>
      <c r="D1348" s="186">
        <v>185.8</v>
      </c>
      <c r="E1348" s="186">
        <v>7.02</v>
      </c>
      <c r="F1348" s="186">
        <v>6.62</v>
      </c>
      <c r="G1348" s="186">
        <v>3.603906904</v>
      </c>
    </row>
    <row r="1349" spans="1:7" ht="14.4">
      <c r="A1349" s="186">
        <v>1348</v>
      </c>
      <c r="B1349" s="186" t="s">
        <v>1624</v>
      </c>
      <c r="C1349" s="186" t="s">
        <v>1625</v>
      </c>
      <c r="D1349" s="186">
        <v>13.3</v>
      </c>
      <c r="E1349" s="186">
        <v>6.61</v>
      </c>
      <c r="F1349" s="186">
        <v>6.62</v>
      </c>
      <c r="G1349" s="186">
        <v>3.603906904</v>
      </c>
    </row>
    <row r="1350" spans="1:7" ht="14.4">
      <c r="A1350" s="186">
        <v>1349</v>
      </c>
      <c r="B1350" s="186" t="s">
        <v>210</v>
      </c>
      <c r="C1350" s="186" t="s">
        <v>1626</v>
      </c>
      <c r="D1350" s="186">
        <v>736.1</v>
      </c>
      <c r="E1350" s="186">
        <v>6.91</v>
      </c>
      <c r="F1350" s="186">
        <v>6.62</v>
      </c>
      <c r="G1350" s="186">
        <v>3.603906904</v>
      </c>
    </row>
    <row r="1351" spans="1:7" ht="14.4">
      <c r="A1351" s="186">
        <v>1350</v>
      </c>
      <c r="B1351" s="186" t="s">
        <v>834</v>
      </c>
      <c r="C1351" s="186" t="s">
        <v>1627</v>
      </c>
      <c r="D1351" s="186">
        <v>424.8</v>
      </c>
      <c r="E1351" s="186">
        <v>6.91</v>
      </c>
      <c r="F1351" s="186">
        <v>6.62</v>
      </c>
      <c r="G1351" s="186">
        <v>3.603906904</v>
      </c>
    </row>
    <row r="1352" spans="1:7" ht="14.4">
      <c r="A1352" s="186">
        <v>1351</v>
      </c>
      <c r="B1352" s="186" t="s">
        <v>192</v>
      </c>
      <c r="C1352" s="186" t="s">
        <v>1628</v>
      </c>
      <c r="D1352" s="186">
        <v>314.60000000000002</v>
      </c>
      <c r="E1352" s="186">
        <v>6.91</v>
      </c>
      <c r="F1352" s="186">
        <v>6.62</v>
      </c>
      <c r="G1352" s="186">
        <v>3.603906904</v>
      </c>
    </row>
    <row r="1353" spans="1:7" ht="14.4">
      <c r="A1353" s="186">
        <v>1352</v>
      </c>
      <c r="B1353" s="186" t="s">
        <v>1228</v>
      </c>
      <c r="C1353" s="186" t="s">
        <v>1629</v>
      </c>
      <c r="D1353" s="187">
        <v>1213.8</v>
      </c>
      <c r="E1353" s="186">
        <v>6.83</v>
      </c>
      <c r="F1353" s="186">
        <v>6.63</v>
      </c>
      <c r="G1353" s="186">
        <v>3.6106732140000002</v>
      </c>
    </row>
    <row r="1354" spans="1:7" ht="14.4">
      <c r="A1354" s="186">
        <v>1353</v>
      </c>
      <c r="B1354" s="186" t="s">
        <v>1228</v>
      </c>
      <c r="C1354" s="186" t="s">
        <v>1630</v>
      </c>
      <c r="D1354" s="186">
        <v>70</v>
      </c>
      <c r="E1354" s="186">
        <v>6.83</v>
      </c>
      <c r="F1354" s="186">
        <v>6.63</v>
      </c>
      <c r="G1354" s="186">
        <v>3.6106732140000002</v>
      </c>
    </row>
    <row r="1355" spans="1:7" ht="14.4">
      <c r="A1355" s="186">
        <v>1354</v>
      </c>
      <c r="B1355" s="186" t="s">
        <v>1228</v>
      </c>
      <c r="C1355" s="186" t="s">
        <v>1631</v>
      </c>
      <c r="D1355" s="186">
        <v>98.1</v>
      </c>
      <c r="E1355" s="186">
        <v>6.57</v>
      </c>
      <c r="F1355" s="186">
        <v>6.63</v>
      </c>
      <c r="G1355" s="186">
        <v>3.6106732140000002</v>
      </c>
    </row>
    <row r="1356" spans="1:7" ht="14.4">
      <c r="A1356" s="186">
        <v>1355</v>
      </c>
      <c r="B1356" s="186" t="s">
        <v>178</v>
      </c>
      <c r="C1356" s="186" t="s">
        <v>1632</v>
      </c>
      <c r="D1356" s="186">
        <v>11.1</v>
      </c>
      <c r="E1356" s="186">
        <v>6.87</v>
      </c>
      <c r="F1356" s="186">
        <v>6.63</v>
      </c>
      <c r="G1356" s="186">
        <v>3.6106732140000002</v>
      </c>
    </row>
    <row r="1357" spans="1:7" ht="14.4">
      <c r="A1357" s="186">
        <v>1356</v>
      </c>
      <c r="B1357" s="186" t="s">
        <v>178</v>
      </c>
      <c r="C1357" s="186" t="s">
        <v>1633</v>
      </c>
      <c r="D1357" s="186">
        <v>4.0999999999999996</v>
      </c>
      <c r="E1357" s="186">
        <v>6.82</v>
      </c>
      <c r="F1357" s="186">
        <v>6.63</v>
      </c>
      <c r="G1357" s="186">
        <v>3.6106732140000002</v>
      </c>
    </row>
    <row r="1358" spans="1:7" ht="14.4">
      <c r="A1358" s="186">
        <v>1357</v>
      </c>
      <c r="B1358" s="186" t="s">
        <v>1634</v>
      </c>
      <c r="C1358" s="186" t="s">
        <v>1635</v>
      </c>
      <c r="D1358" s="186">
        <v>798.2</v>
      </c>
      <c r="E1358" s="186">
        <v>6.41</v>
      </c>
      <c r="F1358" s="186">
        <v>6.63</v>
      </c>
      <c r="G1358" s="186">
        <v>3.6106732140000002</v>
      </c>
    </row>
    <row r="1359" spans="1:7" ht="14.4">
      <c r="A1359" s="186">
        <v>1358</v>
      </c>
      <c r="B1359" s="186" t="s">
        <v>451</v>
      </c>
      <c r="C1359" s="186" t="s">
        <v>1636</v>
      </c>
      <c r="D1359" s="187">
        <v>1777.2</v>
      </c>
      <c r="E1359" s="186">
        <v>6.68</v>
      </c>
      <c r="F1359" s="186">
        <v>6.63</v>
      </c>
      <c r="G1359" s="186">
        <v>3.6106732140000002</v>
      </c>
    </row>
    <row r="1360" spans="1:7" ht="14.4">
      <c r="A1360" s="186">
        <v>1359</v>
      </c>
      <c r="B1360" s="186" t="s">
        <v>565</v>
      </c>
      <c r="C1360" s="186" t="s">
        <v>1637</v>
      </c>
      <c r="D1360" s="186">
        <v>50.7</v>
      </c>
      <c r="E1360" s="186">
        <v>7.01</v>
      </c>
      <c r="F1360" s="186">
        <v>6.63</v>
      </c>
      <c r="G1360" s="186">
        <v>3.6106732140000002</v>
      </c>
    </row>
    <row r="1361" spans="1:7" ht="14.4">
      <c r="A1361" s="186">
        <v>1360</v>
      </c>
      <c r="B1361" s="186" t="s">
        <v>241</v>
      </c>
      <c r="C1361" s="186" t="s">
        <v>1638</v>
      </c>
      <c r="D1361" s="187">
        <v>1965.9</v>
      </c>
      <c r="E1361" s="186">
        <v>7.22</v>
      </c>
      <c r="F1361" s="186">
        <v>6.64</v>
      </c>
      <c r="G1361" s="186">
        <v>3.617451591</v>
      </c>
    </row>
    <row r="1362" spans="1:7" ht="14.4">
      <c r="A1362" s="186">
        <v>1361</v>
      </c>
      <c r="B1362" s="186" t="s">
        <v>138</v>
      </c>
      <c r="C1362" s="186" t="s">
        <v>1639</v>
      </c>
      <c r="D1362" s="186">
        <v>33.700000000000003</v>
      </c>
      <c r="E1362" s="186">
        <v>6.89</v>
      </c>
      <c r="F1362" s="186">
        <v>6.64</v>
      </c>
      <c r="G1362" s="186">
        <v>3.617451591</v>
      </c>
    </row>
    <row r="1363" spans="1:7" ht="14.4">
      <c r="A1363" s="186">
        <v>1362</v>
      </c>
      <c r="B1363" s="186" t="s">
        <v>178</v>
      </c>
      <c r="C1363" s="186" t="s">
        <v>1640</v>
      </c>
      <c r="D1363" s="186">
        <v>392.1</v>
      </c>
      <c r="E1363" s="186">
        <v>6.94</v>
      </c>
      <c r="F1363" s="186">
        <v>6.64</v>
      </c>
      <c r="G1363" s="186">
        <v>3.617451591</v>
      </c>
    </row>
    <row r="1364" spans="1:7" ht="14.4">
      <c r="A1364" s="186">
        <v>1363</v>
      </c>
      <c r="B1364" s="186" t="s">
        <v>178</v>
      </c>
      <c r="C1364" s="186" t="s">
        <v>1641</v>
      </c>
      <c r="D1364" s="186">
        <v>0.1</v>
      </c>
      <c r="E1364" s="186">
        <v>6.94</v>
      </c>
      <c r="F1364" s="186">
        <v>6.64</v>
      </c>
      <c r="G1364" s="186">
        <v>3.617451591</v>
      </c>
    </row>
    <row r="1365" spans="1:7" ht="14.4">
      <c r="A1365" s="186">
        <v>1364</v>
      </c>
      <c r="B1365" s="186" t="s">
        <v>178</v>
      </c>
      <c r="C1365" s="186" t="s">
        <v>1642</v>
      </c>
      <c r="D1365" s="187">
        <v>2321.1</v>
      </c>
      <c r="E1365" s="186">
        <v>6.93</v>
      </c>
      <c r="F1365" s="186">
        <v>6.64</v>
      </c>
      <c r="G1365" s="186">
        <v>3.617451591</v>
      </c>
    </row>
    <row r="1366" spans="1:7" ht="14.4">
      <c r="A1366" s="186">
        <v>1365</v>
      </c>
      <c r="B1366" s="186" t="s">
        <v>126</v>
      </c>
      <c r="C1366" s="186" t="s">
        <v>1643</v>
      </c>
      <c r="D1366" s="187">
        <v>1967.9</v>
      </c>
      <c r="E1366" s="186">
        <v>6.69</v>
      </c>
      <c r="F1366" s="186">
        <v>6.64</v>
      </c>
      <c r="G1366" s="186">
        <v>3.617451591</v>
      </c>
    </row>
    <row r="1367" spans="1:7" ht="14.4">
      <c r="A1367" s="186">
        <v>1366</v>
      </c>
      <c r="B1367" s="186" t="s">
        <v>365</v>
      </c>
      <c r="C1367" s="186" t="s">
        <v>1644</v>
      </c>
      <c r="D1367" s="186">
        <v>451.2</v>
      </c>
      <c r="E1367" s="186">
        <v>6.86</v>
      </c>
      <c r="F1367" s="186">
        <v>6.64</v>
      </c>
      <c r="G1367" s="186">
        <v>3.617451591</v>
      </c>
    </row>
    <row r="1368" spans="1:7" ht="14.4">
      <c r="A1368" s="186">
        <v>1367</v>
      </c>
      <c r="B1368" s="186" t="s">
        <v>213</v>
      </c>
      <c r="C1368" s="186" t="s">
        <v>1645</v>
      </c>
      <c r="D1368" s="186">
        <v>51</v>
      </c>
      <c r="E1368" s="186">
        <v>6.84</v>
      </c>
      <c r="F1368" s="186">
        <v>6.64</v>
      </c>
      <c r="G1368" s="186">
        <v>3.617451591</v>
      </c>
    </row>
    <row r="1369" spans="1:7" ht="14.4">
      <c r="A1369" s="186">
        <v>1368</v>
      </c>
      <c r="B1369" s="186" t="s">
        <v>565</v>
      </c>
      <c r="C1369" s="186" t="s">
        <v>1646</v>
      </c>
      <c r="D1369" s="186">
        <v>33.9</v>
      </c>
      <c r="E1369" s="186">
        <v>6.92</v>
      </c>
      <c r="F1369" s="186">
        <v>6.64</v>
      </c>
      <c r="G1369" s="186">
        <v>3.617451591</v>
      </c>
    </row>
    <row r="1370" spans="1:7" ht="14.4">
      <c r="A1370" s="186">
        <v>1369</v>
      </c>
      <c r="B1370" s="186" t="s">
        <v>365</v>
      </c>
      <c r="C1370" s="186" t="s">
        <v>1647</v>
      </c>
      <c r="D1370" s="186">
        <v>1.5</v>
      </c>
      <c r="E1370" s="186">
        <v>6.88</v>
      </c>
      <c r="F1370" s="186">
        <v>6.65</v>
      </c>
      <c r="G1370" s="186">
        <v>3.624242057</v>
      </c>
    </row>
    <row r="1371" spans="1:7" ht="14.4">
      <c r="A1371" s="186">
        <v>1370</v>
      </c>
      <c r="B1371" s="186" t="s">
        <v>373</v>
      </c>
      <c r="C1371" s="186" t="s">
        <v>1648</v>
      </c>
      <c r="D1371" s="187">
        <v>1781.2</v>
      </c>
      <c r="E1371" s="186">
        <v>6.96</v>
      </c>
      <c r="F1371" s="186">
        <v>6.65</v>
      </c>
      <c r="G1371" s="186">
        <v>3.624242057</v>
      </c>
    </row>
    <row r="1372" spans="1:7" ht="14.4">
      <c r="A1372" s="186">
        <v>1371</v>
      </c>
      <c r="B1372" s="186" t="s">
        <v>210</v>
      </c>
      <c r="C1372" s="186" t="s">
        <v>1649</v>
      </c>
      <c r="D1372" s="186">
        <v>818.5</v>
      </c>
      <c r="E1372" s="186">
        <v>6.97</v>
      </c>
      <c r="F1372" s="186">
        <v>6.65</v>
      </c>
      <c r="G1372" s="186">
        <v>3.624242057</v>
      </c>
    </row>
    <row r="1373" spans="1:7" ht="14.4">
      <c r="A1373" s="186">
        <v>1372</v>
      </c>
      <c r="B1373" s="186" t="s">
        <v>210</v>
      </c>
      <c r="C1373" s="186" t="s">
        <v>1650</v>
      </c>
      <c r="D1373" s="187">
        <v>1969.7</v>
      </c>
      <c r="E1373" s="186">
        <v>6.65</v>
      </c>
      <c r="F1373" s="186">
        <v>6.65</v>
      </c>
      <c r="G1373" s="186">
        <v>3.624242057</v>
      </c>
    </row>
    <row r="1374" spans="1:7" ht="14.4">
      <c r="A1374" s="186">
        <v>1373</v>
      </c>
      <c r="B1374" s="186" t="s">
        <v>348</v>
      </c>
      <c r="C1374" s="186" t="s">
        <v>1651</v>
      </c>
      <c r="D1374" s="186">
        <v>437.4</v>
      </c>
      <c r="E1374" s="186">
        <v>7.05</v>
      </c>
      <c r="F1374" s="186">
        <v>6.65</v>
      </c>
      <c r="G1374" s="186">
        <v>3.624242057</v>
      </c>
    </row>
    <row r="1375" spans="1:7" ht="14.4">
      <c r="A1375" s="186">
        <v>1374</v>
      </c>
      <c r="B1375" s="186" t="s">
        <v>213</v>
      </c>
      <c r="C1375" s="186" t="s">
        <v>1652</v>
      </c>
      <c r="D1375" s="186">
        <v>12.9</v>
      </c>
      <c r="E1375" s="186">
        <v>6.99</v>
      </c>
      <c r="F1375" s="186">
        <v>6.65</v>
      </c>
      <c r="G1375" s="186">
        <v>3.624242057</v>
      </c>
    </row>
    <row r="1376" spans="1:7" ht="14.4">
      <c r="A1376" s="186">
        <v>1375</v>
      </c>
      <c r="B1376" s="186" t="s">
        <v>178</v>
      </c>
      <c r="C1376" s="186" t="s">
        <v>1653</v>
      </c>
      <c r="D1376" s="186">
        <v>65.599999999999994</v>
      </c>
      <c r="E1376" s="186">
        <v>6.87</v>
      </c>
      <c r="F1376" s="186">
        <v>6.66</v>
      </c>
      <c r="G1376" s="186">
        <v>3.6310446299999999</v>
      </c>
    </row>
    <row r="1377" spans="1:7" ht="14.4">
      <c r="A1377" s="186">
        <v>1376</v>
      </c>
      <c r="B1377" s="186" t="s">
        <v>286</v>
      </c>
      <c r="C1377" s="944" t="s">
        <v>1654</v>
      </c>
      <c r="D1377" s="187">
        <v>2555.5</v>
      </c>
      <c r="E1377" s="186">
        <v>6.96</v>
      </c>
      <c r="F1377" s="186">
        <v>6.66</v>
      </c>
      <c r="G1377" s="186">
        <v>3.6310446299999999</v>
      </c>
    </row>
    <row r="1378" spans="1:7" ht="14.4">
      <c r="A1378" s="186">
        <v>1377</v>
      </c>
      <c r="B1378" s="186" t="s">
        <v>252</v>
      </c>
      <c r="C1378" s="186" t="s">
        <v>1655</v>
      </c>
      <c r="D1378" s="187">
        <v>1173.2</v>
      </c>
      <c r="E1378" s="186">
        <v>6.67</v>
      </c>
      <c r="F1378" s="186">
        <v>6.66</v>
      </c>
      <c r="G1378" s="186">
        <v>3.6310446299999999</v>
      </c>
    </row>
    <row r="1379" spans="1:7" ht="14.4">
      <c r="A1379" s="186">
        <v>1378</v>
      </c>
      <c r="B1379" s="186" t="s">
        <v>175</v>
      </c>
      <c r="C1379" s="186" t="s">
        <v>1656</v>
      </c>
      <c r="D1379" s="186">
        <v>60.2</v>
      </c>
      <c r="E1379" s="186">
        <v>6.89</v>
      </c>
      <c r="F1379" s="186">
        <v>6.66</v>
      </c>
      <c r="G1379" s="186">
        <v>3.6310446299999999</v>
      </c>
    </row>
    <row r="1380" spans="1:7" ht="14.4">
      <c r="A1380" s="186">
        <v>1379</v>
      </c>
      <c r="B1380" s="186" t="s">
        <v>175</v>
      </c>
      <c r="C1380" s="186" t="s">
        <v>1657</v>
      </c>
      <c r="D1380" s="186">
        <v>48.8</v>
      </c>
      <c r="E1380" s="186">
        <v>7</v>
      </c>
      <c r="F1380" s="186">
        <v>6.66</v>
      </c>
      <c r="G1380" s="186">
        <v>3.6310446299999999</v>
      </c>
    </row>
    <row r="1381" spans="1:7" ht="14.4">
      <c r="A1381" s="186">
        <v>1380</v>
      </c>
      <c r="B1381" s="186" t="s">
        <v>226</v>
      </c>
      <c r="C1381" s="186" t="s">
        <v>1658</v>
      </c>
      <c r="D1381" s="186">
        <v>0.6</v>
      </c>
      <c r="E1381" s="186">
        <v>6.35</v>
      </c>
      <c r="F1381" s="186">
        <v>6.66</v>
      </c>
      <c r="G1381" s="186">
        <v>3.6310446299999999</v>
      </c>
    </row>
    <row r="1382" spans="1:7" ht="14.4">
      <c r="A1382" s="186">
        <v>1381</v>
      </c>
      <c r="B1382" s="186" t="s">
        <v>226</v>
      </c>
      <c r="C1382" s="186" t="s">
        <v>1659</v>
      </c>
      <c r="D1382" s="186">
        <v>86.3</v>
      </c>
      <c r="E1382" s="186">
        <v>6.68</v>
      </c>
      <c r="F1382" s="186">
        <v>6.66</v>
      </c>
      <c r="G1382" s="186">
        <v>3.6310446299999999</v>
      </c>
    </row>
    <row r="1383" spans="1:7" ht="14.4">
      <c r="A1383" s="186">
        <v>1382</v>
      </c>
      <c r="B1383" s="186" t="s">
        <v>210</v>
      </c>
      <c r="C1383" s="186" t="s">
        <v>1660</v>
      </c>
      <c r="D1383" s="187">
        <v>1380.6</v>
      </c>
      <c r="E1383" s="186">
        <v>6.71</v>
      </c>
      <c r="F1383" s="186">
        <v>6.66</v>
      </c>
      <c r="G1383" s="186">
        <v>3.6310446299999999</v>
      </c>
    </row>
    <row r="1384" spans="1:7" ht="14.4">
      <c r="A1384" s="186">
        <v>1383</v>
      </c>
      <c r="B1384" s="186" t="s">
        <v>335</v>
      </c>
      <c r="C1384" s="186" t="s">
        <v>1661</v>
      </c>
      <c r="D1384" s="187">
        <v>3210.8</v>
      </c>
      <c r="E1384" s="186">
        <v>6.43</v>
      </c>
      <c r="F1384" s="186">
        <v>6.66</v>
      </c>
      <c r="G1384" s="186">
        <v>3.6310446299999999</v>
      </c>
    </row>
    <row r="1385" spans="1:7" ht="14.4">
      <c r="A1385" s="186">
        <v>1384</v>
      </c>
      <c r="B1385" s="186" t="s">
        <v>213</v>
      </c>
      <c r="C1385" s="186" t="s">
        <v>1662</v>
      </c>
      <c r="D1385" s="186">
        <v>27.9</v>
      </c>
      <c r="E1385" s="186">
        <v>6.86</v>
      </c>
      <c r="F1385" s="186">
        <v>6.66</v>
      </c>
      <c r="G1385" s="186">
        <v>3.6310446299999999</v>
      </c>
    </row>
    <row r="1386" spans="1:7" ht="14.4">
      <c r="A1386" s="186">
        <v>1385</v>
      </c>
      <c r="B1386" s="186" t="s">
        <v>184</v>
      </c>
      <c r="C1386" s="186" t="s">
        <v>1663</v>
      </c>
      <c r="D1386" s="187">
        <v>3040.6</v>
      </c>
      <c r="E1386" s="186">
        <v>7.07</v>
      </c>
      <c r="F1386" s="186">
        <v>6.66</v>
      </c>
      <c r="G1386" s="186">
        <v>3.6310446299999999</v>
      </c>
    </row>
    <row r="1387" spans="1:7" ht="14.4">
      <c r="A1387" s="186">
        <v>1386</v>
      </c>
      <c r="B1387" s="186" t="s">
        <v>178</v>
      </c>
      <c r="C1387" s="186" t="s">
        <v>1664</v>
      </c>
      <c r="D1387" s="186">
        <v>0.6</v>
      </c>
      <c r="E1387" s="186">
        <v>6.85</v>
      </c>
      <c r="F1387" s="186">
        <v>6.67</v>
      </c>
      <c r="G1387" s="186">
        <v>3.6378593320000001</v>
      </c>
    </row>
    <row r="1388" spans="1:7" ht="14.4">
      <c r="A1388" s="186">
        <v>1387</v>
      </c>
      <c r="B1388" s="186" t="s">
        <v>175</v>
      </c>
      <c r="C1388" s="186" t="s">
        <v>1665</v>
      </c>
      <c r="D1388" s="186">
        <v>55.3</v>
      </c>
      <c r="E1388" s="186">
        <v>6.58</v>
      </c>
      <c r="F1388" s="186">
        <v>6.67</v>
      </c>
      <c r="G1388" s="186">
        <v>3.6378593320000001</v>
      </c>
    </row>
    <row r="1389" spans="1:7" ht="14.4">
      <c r="A1389" s="186">
        <v>1388</v>
      </c>
      <c r="B1389" s="186" t="s">
        <v>175</v>
      </c>
      <c r="C1389" s="186" t="s">
        <v>1666</v>
      </c>
      <c r="D1389" s="187">
        <v>1463.2</v>
      </c>
      <c r="E1389" s="186">
        <v>6.97</v>
      </c>
      <c r="F1389" s="186">
        <v>6.67</v>
      </c>
      <c r="G1389" s="186">
        <v>3.6378593320000001</v>
      </c>
    </row>
    <row r="1390" spans="1:7" ht="14.4">
      <c r="A1390" s="186">
        <v>1389</v>
      </c>
      <c r="B1390" s="186" t="s">
        <v>153</v>
      </c>
      <c r="C1390" s="186" t="s">
        <v>1667</v>
      </c>
      <c r="D1390" s="187">
        <v>1083.4000000000001</v>
      </c>
      <c r="E1390" s="186">
        <v>6.62</v>
      </c>
      <c r="F1390" s="186">
        <v>6.67</v>
      </c>
      <c r="G1390" s="186">
        <v>3.6378593320000001</v>
      </c>
    </row>
    <row r="1391" spans="1:7" ht="14.4">
      <c r="A1391" s="186">
        <v>1390</v>
      </c>
      <c r="B1391" s="186" t="s">
        <v>263</v>
      </c>
      <c r="C1391" s="186" t="s">
        <v>1668</v>
      </c>
      <c r="D1391" s="186">
        <v>902.5</v>
      </c>
      <c r="E1391" s="186">
        <v>6.78</v>
      </c>
      <c r="F1391" s="186">
        <v>6.67</v>
      </c>
      <c r="G1391" s="186">
        <v>3.6378593320000001</v>
      </c>
    </row>
    <row r="1392" spans="1:7" ht="14.4">
      <c r="A1392" s="186">
        <v>1391</v>
      </c>
      <c r="B1392" s="186" t="s">
        <v>477</v>
      </c>
      <c r="C1392" s="186" t="s">
        <v>1669</v>
      </c>
      <c r="D1392" s="186">
        <v>0.9</v>
      </c>
      <c r="E1392" s="186">
        <v>6.92</v>
      </c>
      <c r="F1392" s="186">
        <v>6.67</v>
      </c>
      <c r="G1392" s="186">
        <v>3.6378593320000001</v>
      </c>
    </row>
    <row r="1393" spans="1:7" ht="14.4">
      <c r="A1393" s="186">
        <v>1392</v>
      </c>
      <c r="B1393" s="186" t="s">
        <v>1290</v>
      </c>
      <c r="C1393" s="186" t="s">
        <v>1670</v>
      </c>
      <c r="D1393" s="186">
        <v>2.7</v>
      </c>
      <c r="E1393" s="186">
        <v>6.81</v>
      </c>
      <c r="F1393" s="186">
        <v>6.67</v>
      </c>
      <c r="G1393" s="186">
        <v>3.6378593320000001</v>
      </c>
    </row>
    <row r="1394" spans="1:7" ht="14.4">
      <c r="A1394" s="186">
        <v>1393</v>
      </c>
      <c r="B1394" s="186" t="s">
        <v>1290</v>
      </c>
      <c r="C1394" s="186" t="s">
        <v>1671</v>
      </c>
      <c r="D1394" s="186">
        <v>2.5</v>
      </c>
      <c r="E1394" s="186">
        <v>6.88</v>
      </c>
      <c r="F1394" s="186">
        <v>6.67</v>
      </c>
      <c r="G1394" s="186">
        <v>3.6378593320000001</v>
      </c>
    </row>
    <row r="1395" spans="1:7" ht="14.4">
      <c r="A1395" s="186">
        <v>1394</v>
      </c>
      <c r="B1395" s="186" t="s">
        <v>1195</v>
      </c>
      <c r="C1395" s="186" t="s">
        <v>1672</v>
      </c>
      <c r="D1395" s="186">
        <v>325.7</v>
      </c>
      <c r="E1395" s="186">
        <v>6.62</v>
      </c>
      <c r="F1395" s="186">
        <v>6.67</v>
      </c>
      <c r="G1395" s="186">
        <v>3.6378593320000001</v>
      </c>
    </row>
    <row r="1396" spans="1:7" ht="14.4">
      <c r="A1396" s="186">
        <v>1395</v>
      </c>
      <c r="B1396" s="186" t="s">
        <v>168</v>
      </c>
      <c r="C1396" s="186" t="s">
        <v>1673</v>
      </c>
      <c r="D1396" s="186">
        <v>154.69999999999999</v>
      </c>
      <c r="E1396" s="186">
        <v>6.93</v>
      </c>
      <c r="F1396" s="186">
        <v>6.67</v>
      </c>
      <c r="G1396" s="186">
        <v>3.6378593320000001</v>
      </c>
    </row>
    <row r="1397" spans="1:7" ht="14.4">
      <c r="A1397" s="186">
        <v>1396</v>
      </c>
      <c r="B1397" s="186" t="s">
        <v>1674</v>
      </c>
      <c r="C1397" s="186" t="s">
        <v>1675</v>
      </c>
      <c r="D1397" s="187">
        <v>1172.3</v>
      </c>
      <c r="E1397" s="186">
        <v>6.73</v>
      </c>
      <c r="F1397" s="186">
        <v>6.67</v>
      </c>
      <c r="G1397" s="186">
        <v>3.6378593320000001</v>
      </c>
    </row>
    <row r="1398" spans="1:7" ht="14.4">
      <c r="A1398" s="186">
        <v>1397</v>
      </c>
      <c r="B1398" s="186" t="s">
        <v>178</v>
      </c>
      <c r="C1398" s="186" t="s">
        <v>1676</v>
      </c>
      <c r="D1398" s="186">
        <v>0.1</v>
      </c>
      <c r="E1398" s="186">
        <v>6.88</v>
      </c>
      <c r="F1398" s="186">
        <v>6.68</v>
      </c>
      <c r="G1398" s="186">
        <v>3.6446861830000001</v>
      </c>
    </row>
    <row r="1399" spans="1:7" ht="14.4">
      <c r="A1399" s="186">
        <v>1398</v>
      </c>
      <c r="B1399" s="186" t="s">
        <v>178</v>
      </c>
      <c r="C1399" s="186" t="s">
        <v>1677</v>
      </c>
      <c r="D1399" s="186">
        <v>0.1</v>
      </c>
      <c r="E1399" s="186">
        <v>6.89</v>
      </c>
      <c r="F1399" s="186">
        <v>6.68</v>
      </c>
      <c r="G1399" s="186">
        <v>3.6446861830000001</v>
      </c>
    </row>
    <row r="1400" spans="1:7" ht="14.4">
      <c r="A1400" s="186">
        <v>1399</v>
      </c>
      <c r="B1400" s="186" t="s">
        <v>175</v>
      </c>
      <c r="C1400" s="186" t="s">
        <v>1678</v>
      </c>
      <c r="D1400" s="186">
        <v>455.4</v>
      </c>
      <c r="E1400" s="186">
        <v>6.65</v>
      </c>
      <c r="F1400" s="186">
        <v>6.68</v>
      </c>
      <c r="G1400" s="186">
        <v>3.6446861830000001</v>
      </c>
    </row>
    <row r="1401" spans="1:7" ht="14.4">
      <c r="A1401" s="186">
        <v>1400</v>
      </c>
      <c r="B1401" s="186" t="s">
        <v>175</v>
      </c>
      <c r="C1401" s="186" t="s">
        <v>1679</v>
      </c>
      <c r="D1401" s="186">
        <v>17.5</v>
      </c>
      <c r="E1401" s="186">
        <v>6.69</v>
      </c>
      <c r="F1401" s="186">
        <v>6.68</v>
      </c>
      <c r="G1401" s="186">
        <v>3.6446861830000001</v>
      </c>
    </row>
    <row r="1402" spans="1:7" ht="14.4">
      <c r="A1402" s="186">
        <v>1401</v>
      </c>
      <c r="B1402" s="186" t="s">
        <v>175</v>
      </c>
      <c r="C1402" s="186" t="s">
        <v>1680</v>
      </c>
      <c r="D1402" s="187">
        <v>6878.4</v>
      </c>
      <c r="E1402" s="186">
        <v>6.61</v>
      </c>
      <c r="F1402" s="186">
        <v>6.68</v>
      </c>
      <c r="G1402" s="186">
        <v>3.6446861830000001</v>
      </c>
    </row>
    <row r="1403" spans="1:7" ht="14.4">
      <c r="A1403" s="186">
        <v>1402</v>
      </c>
      <c r="B1403" s="186" t="s">
        <v>373</v>
      </c>
      <c r="C1403" s="186" t="s">
        <v>1681</v>
      </c>
      <c r="D1403" s="186">
        <v>3.2</v>
      </c>
      <c r="E1403" s="186">
        <v>6.96</v>
      </c>
      <c r="F1403" s="186">
        <v>6.68</v>
      </c>
      <c r="G1403" s="186">
        <v>3.6446861830000001</v>
      </c>
    </row>
    <row r="1404" spans="1:7" ht="14.4">
      <c r="A1404" s="186">
        <v>1403</v>
      </c>
      <c r="B1404" s="186" t="s">
        <v>477</v>
      </c>
      <c r="C1404" s="186" t="s">
        <v>1682</v>
      </c>
      <c r="D1404" s="186">
        <v>44.9</v>
      </c>
      <c r="E1404" s="186">
        <v>6.94</v>
      </c>
      <c r="F1404" s="186">
        <v>6.68</v>
      </c>
      <c r="G1404" s="186">
        <v>3.6446861830000001</v>
      </c>
    </row>
    <row r="1405" spans="1:7" ht="14.4">
      <c r="A1405" s="186">
        <v>1404</v>
      </c>
      <c r="B1405" s="186" t="s">
        <v>488</v>
      </c>
      <c r="C1405" s="186" t="s">
        <v>1683</v>
      </c>
      <c r="D1405" s="186">
        <v>323.8</v>
      </c>
      <c r="E1405" s="186">
        <v>6.93</v>
      </c>
      <c r="F1405" s="186">
        <v>6.68</v>
      </c>
      <c r="G1405" s="186">
        <v>3.6446861830000001</v>
      </c>
    </row>
    <row r="1406" spans="1:7" ht="14.4">
      <c r="A1406" s="186">
        <v>1405</v>
      </c>
      <c r="B1406" s="186" t="s">
        <v>352</v>
      </c>
      <c r="C1406" s="186" t="s">
        <v>1684</v>
      </c>
      <c r="D1406" s="186">
        <v>29.3</v>
      </c>
      <c r="E1406" s="186">
        <v>6.96</v>
      </c>
      <c r="F1406" s="186">
        <v>6.68</v>
      </c>
      <c r="G1406" s="186">
        <v>3.6446861830000001</v>
      </c>
    </row>
    <row r="1407" spans="1:7" ht="14.4">
      <c r="A1407" s="186">
        <v>1406</v>
      </c>
      <c r="B1407" s="186" t="s">
        <v>271</v>
      </c>
      <c r="C1407" s="944" t="s">
        <v>1685</v>
      </c>
      <c r="D1407" s="187">
        <v>3386.6</v>
      </c>
      <c r="E1407" s="186">
        <v>6.99</v>
      </c>
      <c r="F1407" s="186">
        <v>6.69</v>
      </c>
      <c r="G1407" s="186">
        <v>3.6515252039999999</v>
      </c>
    </row>
    <row r="1408" spans="1:7" ht="14.4">
      <c r="A1408" s="186">
        <v>1407</v>
      </c>
      <c r="B1408" s="186" t="s">
        <v>153</v>
      </c>
      <c r="C1408" s="186" t="s">
        <v>1686</v>
      </c>
      <c r="D1408" s="187">
        <v>1508.5</v>
      </c>
      <c r="E1408" s="186">
        <v>6.7</v>
      </c>
      <c r="F1408" s="186">
        <v>6.69</v>
      </c>
      <c r="G1408" s="186">
        <v>3.6515252039999999</v>
      </c>
    </row>
    <row r="1409" spans="1:7" ht="14.4">
      <c r="A1409" s="186">
        <v>1408</v>
      </c>
      <c r="B1409" s="186" t="s">
        <v>801</v>
      </c>
      <c r="C1409" s="186" t="s">
        <v>1687</v>
      </c>
      <c r="D1409" s="186">
        <v>120.1</v>
      </c>
      <c r="E1409" s="186">
        <v>6.99</v>
      </c>
      <c r="F1409" s="186">
        <v>6.69</v>
      </c>
      <c r="G1409" s="186">
        <v>3.6515252039999999</v>
      </c>
    </row>
    <row r="1410" spans="1:7" ht="14.4">
      <c r="A1410" s="186">
        <v>1409</v>
      </c>
      <c r="B1410" s="186" t="s">
        <v>118</v>
      </c>
      <c r="C1410" s="186" t="s">
        <v>1688</v>
      </c>
      <c r="D1410" s="186">
        <v>150</v>
      </c>
      <c r="E1410" s="186">
        <v>6.9</v>
      </c>
      <c r="F1410" s="186">
        <v>6.69</v>
      </c>
      <c r="G1410" s="186">
        <v>3.6515252039999999</v>
      </c>
    </row>
    <row r="1411" spans="1:7" ht="14.4">
      <c r="A1411" s="186">
        <v>1410</v>
      </c>
      <c r="B1411" s="186" t="s">
        <v>352</v>
      </c>
      <c r="C1411" s="944" t="s">
        <v>1689</v>
      </c>
      <c r="D1411" s="187">
        <v>1578.5</v>
      </c>
      <c r="E1411" s="186">
        <v>7</v>
      </c>
      <c r="F1411" s="186">
        <v>6.69</v>
      </c>
      <c r="G1411" s="186">
        <v>3.6515252039999999</v>
      </c>
    </row>
    <row r="1412" spans="1:7" ht="14.4">
      <c r="A1412" s="186">
        <v>1411</v>
      </c>
      <c r="B1412" s="186" t="s">
        <v>187</v>
      </c>
      <c r="C1412" s="186" t="s">
        <v>1690</v>
      </c>
      <c r="D1412" s="186">
        <v>114.1</v>
      </c>
      <c r="E1412" s="186">
        <v>6.9</v>
      </c>
      <c r="F1412" s="186">
        <v>6.69</v>
      </c>
      <c r="G1412" s="186">
        <v>3.6515252039999999</v>
      </c>
    </row>
    <row r="1413" spans="1:7" ht="14.4">
      <c r="A1413" s="186">
        <v>1412</v>
      </c>
      <c r="B1413" s="186" t="s">
        <v>271</v>
      </c>
      <c r="C1413" s="186" t="s">
        <v>1691</v>
      </c>
      <c r="D1413" s="186">
        <v>84.5</v>
      </c>
      <c r="E1413" s="186">
        <v>6.56</v>
      </c>
      <c r="F1413" s="186">
        <v>6.7</v>
      </c>
      <c r="G1413" s="186">
        <v>3.6583764140000001</v>
      </c>
    </row>
    <row r="1414" spans="1:7" ht="14.4">
      <c r="A1414" s="186">
        <v>1413</v>
      </c>
      <c r="B1414" s="186" t="s">
        <v>271</v>
      </c>
      <c r="C1414" s="944" t="s">
        <v>1692</v>
      </c>
      <c r="D1414" s="187">
        <v>5739.9</v>
      </c>
      <c r="E1414" s="186">
        <v>7</v>
      </c>
      <c r="F1414" s="186">
        <v>6.7</v>
      </c>
      <c r="G1414" s="186">
        <v>3.6583764140000001</v>
      </c>
    </row>
    <row r="1415" spans="1:7" ht="14.4">
      <c r="A1415" s="186">
        <v>1414</v>
      </c>
      <c r="B1415" s="186" t="s">
        <v>178</v>
      </c>
      <c r="C1415" s="186" t="s">
        <v>1693</v>
      </c>
      <c r="D1415" s="186">
        <v>41.5</v>
      </c>
      <c r="E1415" s="186">
        <v>6.91</v>
      </c>
      <c r="F1415" s="186">
        <v>6.7</v>
      </c>
      <c r="G1415" s="186">
        <v>3.6583764140000001</v>
      </c>
    </row>
    <row r="1416" spans="1:7" ht="14.4">
      <c r="A1416" s="186">
        <v>1415</v>
      </c>
      <c r="B1416" s="186" t="s">
        <v>162</v>
      </c>
      <c r="C1416" s="186" t="s">
        <v>1694</v>
      </c>
      <c r="D1416" s="186">
        <v>340.4</v>
      </c>
      <c r="E1416" s="186">
        <v>7.01</v>
      </c>
      <c r="F1416" s="186">
        <v>6.7</v>
      </c>
      <c r="G1416" s="186">
        <v>3.6583764140000001</v>
      </c>
    </row>
    <row r="1417" spans="1:7" ht="14.4">
      <c r="A1417" s="186">
        <v>1416</v>
      </c>
      <c r="B1417" s="186" t="s">
        <v>252</v>
      </c>
      <c r="C1417" s="186" t="s">
        <v>1695</v>
      </c>
      <c r="D1417" s="186">
        <v>116.2</v>
      </c>
      <c r="E1417" s="186">
        <v>7.03</v>
      </c>
      <c r="F1417" s="186">
        <v>6.7</v>
      </c>
      <c r="G1417" s="186">
        <v>3.6583764140000001</v>
      </c>
    </row>
    <row r="1418" spans="1:7" ht="14.4">
      <c r="A1418" s="186">
        <v>1417</v>
      </c>
      <c r="B1418" s="186" t="s">
        <v>422</v>
      </c>
      <c r="C1418" s="186" t="s">
        <v>1696</v>
      </c>
      <c r="D1418" s="186">
        <v>21.8</v>
      </c>
      <c r="E1418" s="186">
        <v>7.15</v>
      </c>
      <c r="F1418" s="186">
        <v>6.7</v>
      </c>
      <c r="G1418" s="186">
        <v>3.6583764140000001</v>
      </c>
    </row>
    <row r="1419" spans="1:7" ht="14.4">
      <c r="A1419" s="186">
        <v>1418</v>
      </c>
      <c r="B1419" s="186" t="s">
        <v>175</v>
      </c>
      <c r="C1419" s="186" t="s">
        <v>1697</v>
      </c>
      <c r="D1419" s="186">
        <v>44.4</v>
      </c>
      <c r="E1419" s="186">
        <v>7</v>
      </c>
      <c r="F1419" s="186">
        <v>6.7</v>
      </c>
      <c r="G1419" s="186">
        <v>3.6583764140000001</v>
      </c>
    </row>
    <row r="1420" spans="1:7" ht="14.4">
      <c r="A1420" s="186">
        <v>1419</v>
      </c>
      <c r="B1420" s="186" t="s">
        <v>194</v>
      </c>
      <c r="C1420" s="186" t="s">
        <v>1698</v>
      </c>
      <c r="D1420" s="187">
        <v>1073.7</v>
      </c>
      <c r="E1420" s="186">
        <v>6.68</v>
      </c>
      <c r="F1420" s="186">
        <v>6.7</v>
      </c>
      <c r="G1420" s="186">
        <v>3.6583764140000001</v>
      </c>
    </row>
    <row r="1421" spans="1:7" ht="14.4">
      <c r="A1421" s="186">
        <v>1420</v>
      </c>
      <c r="B1421" s="186" t="s">
        <v>365</v>
      </c>
      <c r="C1421" s="186" t="s">
        <v>1699</v>
      </c>
      <c r="D1421" s="186">
        <v>0.1</v>
      </c>
      <c r="E1421" s="186">
        <v>6.86</v>
      </c>
      <c r="F1421" s="186">
        <v>6.7</v>
      </c>
      <c r="G1421" s="186">
        <v>3.6583764140000001</v>
      </c>
    </row>
    <row r="1422" spans="1:7" ht="14.4">
      <c r="A1422" s="186">
        <v>1421</v>
      </c>
      <c r="B1422" s="186" t="s">
        <v>365</v>
      </c>
      <c r="C1422" s="186" t="s">
        <v>1700</v>
      </c>
      <c r="D1422" s="186">
        <v>26.3</v>
      </c>
      <c r="E1422" s="186">
        <v>6.87</v>
      </c>
      <c r="F1422" s="186">
        <v>6.7</v>
      </c>
      <c r="G1422" s="186">
        <v>3.6583764140000001</v>
      </c>
    </row>
    <row r="1423" spans="1:7" ht="14.4">
      <c r="A1423" s="186">
        <v>1422</v>
      </c>
      <c r="B1423" s="186" t="s">
        <v>335</v>
      </c>
      <c r="C1423" s="186" t="s">
        <v>1701</v>
      </c>
      <c r="D1423" s="186">
        <v>148</v>
      </c>
      <c r="E1423" s="186">
        <v>6.86</v>
      </c>
      <c r="F1423" s="186">
        <v>6.7</v>
      </c>
      <c r="G1423" s="186">
        <v>3.6583764140000001</v>
      </c>
    </row>
    <row r="1424" spans="1:7" ht="14.4">
      <c r="A1424" s="186">
        <v>1423</v>
      </c>
      <c r="B1424" s="186" t="s">
        <v>335</v>
      </c>
      <c r="C1424" s="186" t="s">
        <v>1702</v>
      </c>
      <c r="D1424" s="186">
        <v>836.3</v>
      </c>
      <c r="E1424" s="186">
        <v>7.05</v>
      </c>
      <c r="F1424" s="186">
        <v>6.7</v>
      </c>
      <c r="G1424" s="186">
        <v>3.6583764140000001</v>
      </c>
    </row>
    <row r="1425" spans="1:7" ht="14.4">
      <c r="A1425" s="186">
        <v>1424</v>
      </c>
      <c r="B1425" s="186" t="s">
        <v>834</v>
      </c>
      <c r="C1425" s="186" t="s">
        <v>1703</v>
      </c>
      <c r="D1425" s="186">
        <v>330</v>
      </c>
      <c r="E1425" s="186">
        <v>6.99</v>
      </c>
      <c r="F1425" s="186">
        <v>6.7</v>
      </c>
      <c r="G1425" s="186">
        <v>3.6583764140000001</v>
      </c>
    </row>
    <row r="1426" spans="1:7" ht="14.4">
      <c r="A1426" s="186">
        <v>1425</v>
      </c>
      <c r="B1426" s="186" t="s">
        <v>317</v>
      </c>
      <c r="C1426" s="186" t="s">
        <v>1704</v>
      </c>
      <c r="D1426" s="187">
        <v>2748.6</v>
      </c>
      <c r="E1426" s="186">
        <v>6.68</v>
      </c>
      <c r="F1426" s="186">
        <v>6.7</v>
      </c>
      <c r="G1426" s="186">
        <v>3.6583764140000001</v>
      </c>
    </row>
    <row r="1427" spans="1:7" ht="14.4">
      <c r="A1427" s="186">
        <v>1426</v>
      </c>
      <c r="B1427" s="186" t="s">
        <v>175</v>
      </c>
      <c r="C1427" s="186" t="s">
        <v>1705</v>
      </c>
      <c r="D1427" s="186">
        <v>30.1</v>
      </c>
      <c r="E1427" s="186">
        <v>6.55</v>
      </c>
      <c r="F1427" s="186">
        <v>6.71</v>
      </c>
      <c r="G1427" s="186">
        <v>3.665239836</v>
      </c>
    </row>
    <row r="1428" spans="1:7" ht="14.4">
      <c r="A1428" s="186">
        <v>1427</v>
      </c>
      <c r="B1428" s="186" t="s">
        <v>175</v>
      </c>
      <c r="C1428" s="186" t="s">
        <v>1706</v>
      </c>
      <c r="D1428" s="186">
        <v>622.79999999999995</v>
      </c>
      <c r="E1428" s="186">
        <v>6.63</v>
      </c>
      <c r="F1428" s="186">
        <v>6.71</v>
      </c>
      <c r="G1428" s="186">
        <v>3.665239836</v>
      </c>
    </row>
    <row r="1429" spans="1:7" ht="14.4">
      <c r="A1429" s="186">
        <v>1428</v>
      </c>
      <c r="B1429" s="186" t="s">
        <v>1624</v>
      </c>
      <c r="C1429" s="186" t="s">
        <v>1707</v>
      </c>
      <c r="D1429" s="186">
        <v>58.2</v>
      </c>
      <c r="E1429" s="186">
        <v>7.07</v>
      </c>
      <c r="F1429" s="186">
        <v>6.71</v>
      </c>
      <c r="G1429" s="186">
        <v>3.665239836</v>
      </c>
    </row>
    <row r="1430" spans="1:7" ht="14.4">
      <c r="A1430" s="186">
        <v>1429</v>
      </c>
      <c r="B1430" s="186" t="s">
        <v>138</v>
      </c>
      <c r="C1430" s="186" t="s">
        <v>1708</v>
      </c>
      <c r="D1430" s="187">
        <v>1235</v>
      </c>
      <c r="E1430" s="186">
        <v>7.22</v>
      </c>
      <c r="F1430" s="186">
        <v>6.72</v>
      </c>
      <c r="G1430" s="186">
        <v>3.6721154889999998</v>
      </c>
    </row>
    <row r="1431" spans="1:7" ht="14.4">
      <c r="A1431" s="186">
        <v>1430</v>
      </c>
      <c r="B1431" s="186" t="s">
        <v>178</v>
      </c>
      <c r="C1431" s="186" t="s">
        <v>1709</v>
      </c>
      <c r="D1431" s="186">
        <v>25.5</v>
      </c>
      <c r="E1431" s="186">
        <v>6.99</v>
      </c>
      <c r="F1431" s="186">
        <v>6.72</v>
      </c>
      <c r="G1431" s="186">
        <v>3.6721154889999998</v>
      </c>
    </row>
    <row r="1432" spans="1:7" ht="14.4">
      <c r="A1432" s="186">
        <v>1431</v>
      </c>
      <c r="B1432" s="186" t="s">
        <v>210</v>
      </c>
      <c r="C1432" s="186" t="s">
        <v>1710</v>
      </c>
      <c r="D1432" s="187">
        <v>5997.7</v>
      </c>
      <c r="E1432" s="186">
        <v>7.04</v>
      </c>
      <c r="F1432" s="186">
        <v>6.72</v>
      </c>
      <c r="G1432" s="186">
        <v>3.6721154889999998</v>
      </c>
    </row>
    <row r="1433" spans="1:7" ht="14.4">
      <c r="A1433" s="186">
        <v>1432</v>
      </c>
      <c r="B1433" s="186" t="s">
        <v>118</v>
      </c>
      <c r="C1433" s="186" t="s">
        <v>1711</v>
      </c>
      <c r="D1433" s="186">
        <v>50.3</v>
      </c>
      <c r="E1433" s="186">
        <v>6.92</v>
      </c>
      <c r="F1433" s="186">
        <v>6.72</v>
      </c>
      <c r="G1433" s="186">
        <v>3.6721154889999998</v>
      </c>
    </row>
    <row r="1434" spans="1:7" ht="14.4">
      <c r="A1434" s="186">
        <v>1433</v>
      </c>
      <c r="B1434" s="186" t="s">
        <v>170</v>
      </c>
      <c r="C1434" s="186" t="s">
        <v>1712</v>
      </c>
      <c r="D1434" s="186">
        <v>30.7</v>
      </c>
      <c r="E1434" s="186">
        <v>7.02</v>
      </c>
      <c r="F1434" s="186">
        <v>6.72</v>
      </c>
      <c r="G1434" s="186">
        <v>3.6721154889999998</v>
      </c>
    </row>
    <row r="1435" spans="1:7" ht="14.4">
      <c r="A1435" s="186">
        <v>1434</v>
      </c>
      <c r="B1435" s="186" t="s">
        <v>1168</v>
      </c>
      <c r="C1435" s="186" t="s">
        <v>1713</v>
      </c>
      <c r="D1435" s="186">
        <v>381</v>
      </c>
      <c r="E1435" s="186">
        <v>6.84</v>
      </c>
      <c r="F1435" s="186">
        <v>6.73</v>
      </c>
      <c r="G1435" s="186">
        <v>3.679003394</v>
      </c>
    </row>
    <row r="1436" spans="1:7" ht="14.4">
      <c r="A1436" s="186">
        <v>1435</v>
      </c>
      <c r="B1436" s="186" t="s">
        <v>1228</v>
      </c>
      <c r="C1436" s="186" t="s">
        <v>1714</v>
      </c>
      <c r="D1436" s="186">
        <v>533.6</v>
      </c>
      <c r="E1436" s="186">
        <v>7</v>
      </c>
      <c r="F1436" s="186">
        <v>6.73</v>
      </c>
      <c r="G1436" s="186">
        <v>3.679003394</v>
      </c>
    </row>
    <row r="1437" spans="1:7" ht="14.4">
      <c r="A1437" s="186">
        <v>1436</v>
      </c>
      <c r="B1437" s="186" t="s">
        <v>271</v>
      </c>
      <c r="C1437" s="186" t="s">
        <v>1715</v>
      </c>
      <c r="D1437" s="187">
        <v>1691.3</v>
      </c>
      <c r="E1437" s="186">
        <v>7.01</v>
      </c>
      <c r="F1437" s="186">
        <v>6.73</v>
      </c>
      <c r="G1437" s="186">
        <v>3.679003394</v>
      </c>
    </row>
    <row r="1438" spans="1:7" ht="14.4">
      <c r="A1438" s="186">
        <v>1437</v>
      </c>
      <c r="B1438" s="186" t="s">
        <v>280</v>
      </c>
      <c r="C1438" s="186" t="s">
        <v>1716</v>
      </c>
      <c r="D1438" s="186">
        <v>35.6</v>
      </c>
      <c r="E1438" s="186">
        <v>6.62</v>
      </c>
      <c r="F1438" s="186">
        <v>6.73</v>
      </c>
      <c r="G1438" s="186">
        <v>3.679003394</v>
      </c>
    </row>
    <row r="1439" spans="1:7" ht="14.4">
      <c r="A1439" s="186">
        <v>1438</v>
      </c>
      <c r="B1439" s="186" t="s">
        <v>175</v>
      </c>
      <c r="C1439" s="186" t="s">
        <v>1717</v>
      </c>
      <c r="D1439" s="186">
        <v>16</v>
      </c>
      <c r="E1439" s="186">
        <v>6.78</v>
      </c>
      <c r="F1439" s="186">
        <v>6.74</v>
      </c>
      <c r="G1439" s="186">
        <v>3.685903572</v>
      </c>
    </row>
    <row r="1440" spans="1:7" ht="14.4">
      <c r="A1440" s="186">
        <v>1439</v>
      </c>
      <c r="B1440" s="186" t="s">
        <v>263</v>
      </c>
      <c r="C1440" s="186" t="s">
        <v>1718</v>
      </c>
      <c r="D1440" s="186">
        <v>225.1</v>
      </c>
      <c r="E1440" s="186">
        <v>7.08</v>
      </c>
      <c r="F1440" s="186">
        <v>6.74</v>
      </c>
      <c r="G1440" s="186">
        <v>3.685903572</v>
      </c>
    </row>
    <row r="1441" spans="1:7" ht="14.4">
      <c r="A1441" s="186">
        <v>1440</v>
      </c>
      <c r="B1441" s="186" t="s">
        <v>126</v>
      </c>
      <c r="C1441" s="186" t="s">
        <v>1719</v>
      </c>
      <c r="D1441" s="186">
        <v>462.1</v>
      </c>
      <c r="E1441" s="186">
        <v>6.8</v>
      </c>
      <c r="F1441" s="186">
        <v>6.74</v>
      </c>
      <c r="G1441" s="186">
        <v>3.685903572</v>
      </c>
    </row>
    <row r="1442" spans="1:7" ht="14.4">
      <c r="A1442" s="186">
        <v>1441</v>
      </c>
      <c r="B1442" s="186" t="s">
        <v>373</v>
      </c>
      <c r="C1442" s="186" t="s">
        <v>1720</v>
      </c>
      <c r="D1442" s="186">
        <v>1.4</v>
      </c>
      <c r="E1442" s="186">
        <v>7.02</v>
      </c>
      <c r="F1442" s="186">
        <v>6.74</v>
      </c>
      <c r="G1442" s="186">
        <v>3.685903572</v>
      </c>
    </row>
    <row r="1443" spans="1:7" ht="14.4">
      <c r="A1443" s="186">
        <v>1442</v>
      </c>
      <c r="B1443" s="186" t="s">
        <v>153</v>
      </c>
      <c r="C1443" s="186" t="s">
        <v>1721</v>
      </c>
      <c r="D1443" s="187">
        <v>3795.1</v>
      </c>
      <c r="E1443" s="186">
        <v>7.05</v>
      </c>
      <c r="F1443" s="186">
        <v>6.75</v>
      </c>
      <c r="G1443" s="186">
        <v>3.6928160430000001</v>
      </c>
    </row>
    <row r="1444" spans="1:7" ht="14.4">
      <c r="A1444" s="186">
        <v>1443</v>
      </c>
      <c r="B1444" s="186" t="s">
        <v>263</v>
      </c>
      <c r="C1444" s="186" t="s">
        <v>1722</v>
      </c>
      <c r="D1444" s="186">
        <v>271.39999999999998</v>
      </c>
      <c r="E1444" s="186">
        <v>6.94</v>
      </c>
      <c r="F1444" s="186">
        <v>6.75</v>
      </c>
      <c r="G1444" s="186">
        <v>3.6928160430000001</v>
      </c>
    </row>
    <row r="1445" spans="1:7" ht="14.4">
      <c r="A1445" s="186">
        <v>1444</v>
      </c>
      <c r="B1445" s="186" t="s">
        <v>184</v>
      </c>
      <c r="C1445" s="186" t="s">
        <v>1723</v>
      </c>
      <c r="D1445" s="187">
        <v>28166.400000000001</v>
      </c>
      <c r="E1445" s="186">
        <v>7.05</v>
      </c>
      <c r="F1445" s="186">
        <v>6.75</v>
      </c>
      <c r="G1445" s="186">
        <v>3.6928160430000001</v>
      </c>
    </row>
    <row r="1446" spans="1:7" ht="14.4">
      <c r="A1446" s="186">
        <v>1445</v>
      </c>
      <c r="B1446" s="186" t="s">
        <v>1724</v>
      </c>
      <c r="C1446" s="186" t="s">
        <v>1725</v>
      </c>
      <c r="D1446" s="186">
        <v>187.6</v>
      </c>
      <c r="E1446" s="186">
        <v>6.85</v>
      </c>
      <c r="F1446" s="186">
        <v>6.76</v>
      </c>
      <c r="G1446" s="186">
        <v>3.699740829</v>
      </c>
    </row>
    <row r="1447" spans="1:7" ht="14.4">
      <c r="A1447" s="186">
        <v>1446</v>
      </c>
      <c r="B1447" s="186" t="s">
        <v>1168</v>
      </c>
      <c r="C1447" s="186" t="s">
        <v>1726</v>
      </c>
      <c r="D1447" s="186">
        <v>4.4000000000000004</v>
      </c>
      <c r="E1447" s="186">
        <v>7.16</v>
      </c>
      <c r="F1447" s="186">
        <v>6.76</v>
      </c>
      <c r="G1447" s="186">
        <v>3.699740829</v>
      </c>
    </row>
    <row r="1448" spans="1:7" ht="14.4">
      <c r="A1448" s="186">
        <v>1447</v>
      </c>
      <c r="B1448" s="186" t="s">
        <v>146</v>
      </c>
      <c r="C1448" s="186" t="s">
        <v>1727</v>
      </c>
      <c r="D1448" s="186">
        <v>6.1</v>
      </c>
      <c r="E1448" s="186">
        <v>7.21</v>
      </c>
      <c r="F1448" s="186">
        <v>6.76</v>
      </c>
      <c r="G1448" s="186">
        <v>3.699740829</v>
      </c>
    </row>
    <row r="1449" spans="1:7" ht="14.4">
      <c r="A1449" s="186">
        <v>1448</v>
      </c>
      <c r="B1449" s="186" t="s">
        <v>392</v>
      </c>
      <c r="C1449" s="944" t="s">
        <v>1728</v>
      </c>
      <c r="D1449" s="187">
        <v>28238.7</v>
      </c>
      <c r="E1449" s="186">
        <v>7.06</v>
      </c>
      <c r="F1449" s="186">
        <v>6.76</v>
      </c>
      <c r="G1449" s="186">
        <v>3.699740829</v>
      </c>
    </row>
    <row r="1450" spans="1:7" ht="14.4">
      <c r="A1450" s="186">
        <v>1449</v>
      </c>
      <c r="B1450" s="186" t="s">
        <v>1729</v>
      </c>
      <c r="C1450" s="944" t="s">
        <v>1730</v>
      </c>
      <c r="D1450" s="186">
        <v>155.69999999999999</v>
      </c>
      <c r="E1450" s="186">
        <v>7.06</v>
      </c>
      <c r="F1450" s="186">
        <v>6.76</v>
      </c>
      <c r="G1450" s="186">
        <v>3.699740829</v>
      </c>
    </row>
    <row r="1451" spans="1:7" ht="14.4">
      <c r="A1451" s="186">
        <v>1450</v>
      </c>
      <c r="B1451" s="186" t="s">
        <v>184</v>
      </c>
      <c r="C1451" s="186" t="s">
        <v>1731</v>
      </c>
      <c r="D1451" s="187">
        <v>1606.2</v>
      </c>
      <c r="E1451" s="186">
        <v>7.09</v>
      </c>
      <c r="F1451" s="186">
        <v>6.76</v>
      </c>
      <c r="G1451" s="186">
        <v>3.699740829</v>
      </c>
    </row>
    <row r="1452" spans="1:7" ht="14.4">
      <c r="A1452" s="186">
        <v>1451</v>
      </c>
      <c r="B1452" s="186" t="s">
        <v>1215</v>
      </c>
      <c r="C1452" s="186" t="s">
        <v>1732</v>
      </c>
      <c r="D1452" s="186">
        <v>168.8</v>
      </c>
      <c r="E1452" s="186">
        <v>7.07</v>
      </c>
      <c r="F1452" s="186">
        <v>6.76</v>
      </c>
      <c r="G1452" s="186">
        <v>3.699740829</v>
      </c>
    </row>
    <row r="1453" spans="1:7" ht="14.4">
      <c r="A1453" s="186">
        <v>1452</v>
      </c>
      <c r="B1453" s="186" t="s">
        <v>175</v>
      </c>
      <c r="C1453" s="186" t="s">
        <v>1733</v>
      </c>
      <c r="D1453" s="187">
        <v>2017.1</v>
      </c>
      <c r="E1453" s="186">
        <v>6.69</v>
      </c>
      <c r="F1453" s="186">
        <v>6.77</v>
      </c>
      <c r="G1453" s="186">
        <v>3.7066779489999999</v>
      </c>
    </row>
    <row r="1454" spans="1:7" ht="14.4">
      <c r="A1454" s="186">
        <v>1453</v>
      </c>
      <c r="B1454" s="186" t="s">
        <v>153</v>
      </c>
      <c r="C1454" s="186" t="s">
        <v>1734</v>
      </c>
      <c r="D1454" s="187">
        <v>67576.899999999994</v>
      </c>
      <c r="E1454" s="186">
        <v>7.07</v>
      </c>
      <c r="F1454" s="186">
        <v>6.77</v>
      </c>
      <c r="G1454" s="186">
        <v>3.7066779489999999</v>
      </c>
    </row>
    <row r="1455" spans="1:7" ht="14.4">
      <c r="A1455" s="186">
        <v>1454</v>
      </c>
      <c r="B1455" s="186" t="s">
        <v>1290</v>
      </c>
      <c r="C1455" s="186" t="s">
        <v>1735</v>
      </c>
      <c r="D1455" s="186">
        <v>2.4</v>
      </c>
      <c r="E1455" s="186">
        <v>6.97</v>
      </c>
      <c r="F1455" s="186">
        <v>6.77</v>
      </c>
      <c r="G1455" s="186">
        <v>3.7066779489999999</v>
      </c>
    </row>
    <row r="1456" spans="1:7" ht="14.4">
      <c r="A1456" s="186">
        <v>1455</v>
      </c>
      <c r="B1456" s="186" t="s">
        <v>565</v>
      </c>
      <c r="C1456" s="186" t="s">
        <v>1736</v>
      </c>
      <c r="D1456" s="186">
        <v>480</v>
      </c>
      <c r="E1456" s="186">
        <v>6.98</v>
      </c>
      <c r="F1456" s="186">
        <v>6.77</v>
      </c>
      <c r="G1456" s="186">
        <v>3.7066779489999999</v>
      </c>
    </row>
    <row r="1457" spans="1:7" ht="14.4">
      <c r="A1457" s="186">
        <v>1456</v>
      </c>
      <c r="B1457" s="186" t="s">
        <v>1228</v>
      </c>
      <c r="C1457" s="186" t="s">
        <v>1737</v>
      </c>
      <c r="D1457" s="187">
        <v>1769.6</v>
      </c>
      <c r="E1457" s="186">
        <v>7.06</v>
      </c>
      <c r="F1457" s="186">
        <v>6.78</v>
      </c>
      <c r="G1457" s="186">
        <v>3.713627426</v>
      </c>
    </row>
    <row r="1458" spans="1:7" ht="14.4">
      <c r="A1458" s="186">
        <v>1457</v>
      </c>
      <c r="B1458" s="186" t="s">
        <v>1228</v>
      </c>
      <c r="C1458" s="186" t="s">
        <v>1738</v>
      </c>
      <c r="D1458" s="186">
        <v>308.8</v>
      </c>
      <c r="E1458" s="186">
        <v>6.86</v>
      </c>
      <c r="F1458" s="186">
        <v>6.78</v>
      </c>
      <c r="G1458" s="186">
        <v>3.713627426</v>
      </c>
    </row>
    <row r="1459" spans="1:7" ht="14.4">
      <c r="A1459" s="186">
        <v>1458</v>
      </c>
      <c r="B1459" s="186" t="s">
        <v>1739</v>
      </c>
      <c r="C1459" s="186" t="s">
        <v>1740</v>
      </c>
      <c r="D1459" s="186">
        <v>82.3</v>
      </c>
      <c r="E1459" s="186">
        <v>6.87</v>
      </c>
      <c r="F1459" s="186">
        <v>6.78</v>
      </c>
      <c r="G1459" s="186">
        <v>3.713627426</v>
      </c>
    </row>
    <row r="1460" spans="1:7" ht="14.4">
      <c r="A1460" s="186">
        <v>1459</v>
      </c>
      <c r="B1460" s="186" t="s">
        <v>178</v>
      </c>
      <c r="C1460" s="186" t="s">
        <v>1741</v>
      </c>
      <c r="D1460" s="186">
        <v>0.1</v>
      </c>
      <c r="E1460" s="186">
        <v>7.07</v>
      </c>
      <c r="F1460" s="186">
        <v>6.78</v>
      </c>
      <c r="G1460" s="186">
        <v>3.713627426</v>
      </c>
    </row>
    <row r="1461" spans="1:7" ht="14.4">
      <c r="A1461" s="186">
        <v>1460</v>
      </c>
      <c r="B1461" s="186" t="s">
        <v>162</v>
      </c>
      <c r="C1461" s="186" t="s">
        <v>1742</v>
      </c>
      <c r="D1461" s="186">
        <v>9.6</v>
      </c>
      <c r="E1461" s="186">
        <v>6.8</v>
      </c>
      <c r="F1461" s="186">
        <v>6.78</v>
      </c>
      <c r="G1461" s="186">
        <v>3.713627426</v>
      </c>
    </row>
    <row r="1462" spans="1:7" ht="14.4">
      <c r="A1462" s="186">
        <v>1461</v>
      </c>
      <c r="B1462" s="186" t="s">
        <v>162</v>
      </c>
      <c r="C1462" s="186" t="s">
        <v>1743</v>
      </c>
      <c r="D1462" s="186">
        <v>163.4</v>
      </c>
      <c r="E1462" s="186">
        <v>6.92</v>
      </c>
      <c r="F1462" s="186">
        <v>6.78</v>
      </c>
      <c r="G1462" s="186">
        <v>3.713627426</v>
      </c>
    </row>
    <row r="1463" spans="1:7" ht="14.4">
      <c r="A1463" s="186">
        <v>1462</v>
      </c>
      <c r="B1463" s="186" t="s">
        <v>162</v>
      </c>
      <c r="C1463" s="186" t="s">
        <v>1744</v>
      </c>
      <c r="D1463" s="186">
        <v>233.2</v>
      </c>
      <c r="E1463" s="186">
        <v>6.69</v>
      </c>
      <c r="F1463" s="186">
        <v>6.78</v>
      </c>
      <c r="G1463" s="186">
        <v>3.713627426</v>
      </c>
    </row>
    <row r="1464" spans="1:7" ht="14.4">
      <c r="A1464" s="186">
        <v>1463</v>
      </c>
      <c r="B1464" s="186" t="s">
        <v>801</v>
      </c>
      <c r="C1464" s="186" t="s">
        <v>1745</v>
      </c>
      <c r="D1464" s="186">
        <v>56.7</v>
      </c>
      <c r="E1464" s="186">
        <v>6.89</v>
      </c>
      <c r="F1464" s="186">
        <v>6.78</v>
      </c>
      <c r="G1464" s="186">
        <v>3.713627426</v>
      </c>
    </row>
    <row r="1465" spans="1:7" ht="14.4">
      <c r="A1465" s="186">
        <v>1464</v>
      </c>
      <c r="B1465" s="186" t="s">
        <v>1729</v>
      </c>
      <c r="C1465" s="186" t="s">
        <v>1746</v>
      </c>
      <c r="D1465" s="186">
        <v>179.5</v>
      </c>
      <c r="E1465" s="186">
        <v>7.1</v>
      </c>
      <c r="F1465" s="186">
        <v>6.78</v>
      </c>
      <c r="G1465" s="186">
        <v>3.713627426</v>
      </c>
    </row>
    <row r="1466" spans="1:7" ht="14.4">
      <c r="A1466" s="186">
        <v>1465</v>
      </c>
      <c r="B1466" s="186" t="s">
        <v>168</v>
      </c>
      <c r="C1466" s="186" t="s">
        <v>1747</v>
      </c>
      <c r="D1466" s="186">
        <v>16.8</v>
      </c>
      <c r="E1466" s="186">
        <v>6.72</v>
      </c>
      <c r="F1466" s="186">
        <v>6.78</v>
      </c>
      <c r="G1466" s="186">
        <v>3.713627426</v>
      </c>
    </row>
    <row r="1467" spans="1:7" ht="14.4">
      <c r="A1467" s="186">
        <v>1466</v>
      </c>
      <c r="B1467" s="186" t="s">
        <v>742</v>
      </c>
      <c r="C1467" s="186" t="s">
        <v>1748</v>
      </c>
      <c r="D1467" s="187">
        <v>2048</v>
      </c>
      <c r="E1467" s="186">
        <v>7.1</v>
      </c>
      <c r="F1467" s="186">
        <v>6.79</v>
      </c>
      <c r="G1467" s="186">
        <v>3.7205892779999998</v>
      </c>
    </row>
    <row r="1468" spans="1:7" ht="14.4">
      <c r="A1468" s="186">
        <v>1467</v>
      </c>
      <c r="B1468" s="186" t="s">
        <v>1228</v>
      </c>
      <c r="C1468" s="186" t="s">
        <v>1749</v>
      </c>
      <c r="D1468" s="186">
        <v>87.1</v>
      </c>
      <c r="E1468" s="186">
        <v>7.06</v>
      </c>
      <c r="F1468" s="186">
        <v>6.79</v>
      </c>
      <c r="G1468" s="186">
        <v>3.7205892779999998</v>
      </c>
    </row>
    <row r="1469" spans="1:7" ht="14.4">
      <c r="A1469" s="186">
        <v>1468</v>
      </c>
      <c r="B1469" s="186" t="s">
        <v>1228</v>
      </c>
      <c r="C1469" s="186" t="s">
        <v>1750</v>
      </c>
      <c r="D1469" s="186">
        <v>664.3</v>
      </c>
      <c r="E1469" s="186">
        <v>7.07</v>
      </c>
      <c r="F1469" s="186">
        <v>6.79</v>
      </c>
      <c r="G1469" s="186">
        <v>3.7205892779999998</v>
      </c>
    </row>
    <row r="1470" spans="1:7" ht="14.4">
      <c r="A1470" s="186">
        <v>1469</v>
      </c>
      <c r="B1470" s="186" t="s">
        <v>415</v>
      </c>
      <c r="C1470" s="186" t="s">
        <v>1751</v>
      </c>
      <c r="D1470" s="186">
        <v>14.5</v>
      </c>
      <c r="E1470" s="186">
        <v>6.98</v>
      </c>
      <c r="F1470" s="186">
        <v>6.79</v>
      </c>
      <c r="G1470" s="186">
        <v>3.7205892779999998</v>
      </c>
    </row>
    <row r="1471" spans="1:7" ht="14.4">
      <c r="A1471" s="186">
        <v>1470</v>
      </c>
      <c r="B1471" s="186" t="s">
        <v>1290</v>
      </c>
      <c r="C1471" s="186" t="s">
        <v>1752</v>
      </c>
      <c r="D1471" s="186">
        <v>546.70000000000005</v>
      </c>
      <c r="E1471" s="186">
        <v>6.93</v>
      </c>
      <c r="F1471" s="186">
        <v>6.79</v>
      </c>
      <c r="G1471" s="186">
        <v>3.7205892779999998</v>
      </c>
    </row>
    <row r="1472" spans="1:7" ht="14.4">
      <c r="A1472" s="186">
        <v>1471</v>
      </c>
      <c r="B1472" s="186" t="s">
        <v>1724</v>
      </c>
      <c r="C1472" s="186" t="s">
        <v>1753</v>
      </c>
      <c r="D1472" s="186">
        <v>1.6</v>
      </c>
      <c r="E1472" s="186">
        <v>6.99</v>
      </c>
      <c r="F1472" s="186">
        <v>6.8</v>
      </c>
      <c r="G1472" s="186">
        <v>3.7275635290000002</v>
      </c>
    </row>
    <row r="1473" spans="1:7" ht="14.4">
      <c r="A1473" s="186">
        <v>1472</v>
      </c>
      <c r="B1473" s="186" t="s">
        <v>138</v>
      </c>
      <c r="C1473" s="186" t="s">
        <v>1754</v>
      </c>
      <c r="D1473" s="186">
        <v>472.5</v>
      </c>
      <c r="E1473" s="186">
        <v>7.19</v>
      </c>
      <c r="F1473" s="186">
        <v>6.8</v>
      </c>
      <c r="G1473" s="186">
        <v>3.7275635290000002</v>
      </c>
    </row>
    <row r="1474" spans="1:7" ht="14.4">
      <c r="A1474" s="186">
        <v>1473</v>
      </c>
      <c r="B1474" s="186" t="s">
        <v>1228</v>
      </c>
      <c r="C1474" s="186" t="s">
        <v>1755</v>
      </c>
      <c r="D1474" s="186">
        <v>38.299999999999997</v>
      </c>
      <c r="E1474" s="186">
        <v>7.03</v>
      </c>
      <c r="F1474" s="186">
        <v>6.8</v>
      </c>
      <c r="G1474" s="186">
        <v>3.7275635290000002</v>
      </c>
    </row>
    <row r="1475" spans="1:7" ht="14.4">
      <c r="A1475" s="186">
        <v>1474</v>
      </c>
      <c r="B1475" s="186" t="s">
        <v>483</v>
      </c>
      <c r="C1475" s="186" t="s">
        <v>1756</v>
      </c>
      <c r="D1475" s="187">
        <v>6298.7</v>
      </c>
      <c r="E1475" s="186">
        <v>6.53</v>
      </c>
      <c r="F1475" s="186">
        <v>6.8</v>
      </c>
      <c r="G1475" s="186">
        <v>3.7275635290000002</v>
      </c>
    </row>
    <row r="1476" spans="1:7" ht="14.4">
      <c r="A1476" s="186">
        <v>1475</v>
      </c>
      <c r="B1476" s="186" t="s">
        <v>1390</v>
      </c>
      <c r="C1476" s="186" t="s">
        <v>1757</v>
      </c>
      <c r="D1476" s="186">
        <v>13.6</v>
      </c>
      <c r="E1476" s="186">
        <v>7.12</v>
      </c>
      <c r="F1476" s="186">
        <v>6.8</v>
      </c>
      <c r="G1476" s="186">
        <v>3.7275635290000002</v>
      </c>
    </row>
    <row r="1477" spans="1:7" ht="14.4">
      <c r="A1477" s="186">
        <v>1476</v>
      </c>
      <c r="B1477" s="186" t="s">
        <v>133</v>
      </c>
      <c r="C1477" s="186" t="s">
        <v>1758</v>
      </c>
      <c r="D1477" s="187">
        <v>1644.2</v>
      </c>
      <c r="E1477" s="186">
        <v>6.65</v>
      </c>
      <c r="F1477" s="186">
        <v>6.8</v>
      </c>
      <c r="G1477" s="186">
        <v>3.7275635290000002</v>
      </c>
    </row>
    <row r="1478" spans="1:7" ht="14.4">
      <c r="A1478" s="186">
        <v>1477</v>
      </c>
      <c r="B1478" s="186" t="s">
        <v>488</v>
      </c>
      <c r="C1478" s="186" t="s">
        <v>1759</v>
      </c>
      <c r="D1478" s="186">
        <v>41.3</v>
      </c>
      <c r="E1478" s="186">
        <v>7.18</v>
      </c>
      <c r="F1478" s="186">
        <v>6.8</v>
      </c>
      <c r="G1478" s="186">
        <v>3.7275635290000002</v>
      </c>
    </row>
    <row r="1479" spans="1:7" ht="14.4">
      <c r="A1479" s="186">
        <v>1478</v>
      </c>
      <c r="B1479" s="186" t="s">
        <v>1290</v>
      </c>
      <c r="C1479" s="186" t="s">
        <v>1760</v>
      </c>
      <c r="D1479" s="186">
        <v>19.2</v>
      </c>
      <c r="E1479" s="186">
        <v>6.94</v>
      </c>
      <c r="F1479" s="186">
        <v>6.8</v>
      </c>
      <c r="G1479" s="186">
        <v>3.7275635290000002</v>
      </c>
    </row>
    <row r="1480" spans="1:7" ht="14.4">
      <c r="A1480" s="186">
        <v>1479</v>
      </c>
      <c r="B1480" s="186" t="s">
        <v>1761</v>
      </c>
      <c r="C1480" s="186" t="s">
        <v>1762</v>
      </c>
      <c r="D1480" s="186">
        <v>13.7</v>
      </c>
      <c r="E1480" s="186">
        <v>7.07</v>
      </c>
      <c r="F1480" s="186">
        <v>6.8</v>
      </c>
      <c r="G1480" s="186">
        <v>3.7275635290000002</v>
      </c>
    </row>
    <row r="1481" spans="1:7" ht="14.4">
      <c r="A1481" s="186">
        <v>1480</v>
      </c>
      <c r="B1481" s="186" t="s">
        <v>280</v>
      </c>
      <c r="C1481" s="186" t="s">
        <v>1763</v>
      </c>
      <c r="D1481" s="186">
        <v>24.1</v>
      </c>
      <c r="E1481" s="186">
        <v>7.11</v>
      </c>
      <c r="F1481" s="186">
        <v>6.8</v>
      </c>
      <c r="G1481" s="186">
        <v>3.7275635290000002</v>
      </c>
    </row>
    <row r="1482" spans="1:7" ht="14.4">
      <c r="A1482" s="186">
        <v>1481</v>
      </c>
      <c r="B1482" s="186" t="s">
        <v>178</v>
      </c>
      <c r="C1482" s="186" t="s">
        <v>1764</v>
      </c>
      <c r="D1482" s="186">
        <v>29.5</v>
      </c>
      <c r="E1482" s="186">
        <v>7</v>
      </c>
      <c r="F1482" s="186">
        <v>6.81</v>
      </c>
      <c r="G1482" s="186">
        <v>3.7345501969999999</v>
      </c>
    </row>
    <row r="1483" spans="1:7" ht="14.4">
      <c r="A1483" s="186">
        <v>1482</v>
      </c>
      <c r="B1483" s="186" t="s">
        <v>175</v>
      </c>
      <c r="C1483" s="186" t="s">
        <v>1765</v>
      </c>
      <c r="D1483" s="186">
        <v>125</v>
      </c>
      <c r="E1483" s="186">
        <v>6.36</v>
      </c>
      <c r="F1483" s="186">
        <v>6.81</v>
      </c>
      <c r="G1483" s="186">
        <v>3.7345501969999999</v>
      </c>
    </row>
    <row r="1484" spans="1:7" ht="14.4">
      <c r="A1484" s="186">
        <v>1483</v>
      </c>
      <c r="B1484" s="186" t="s">
        <v>178</v>
      </c>
      <c r="C1484" s="186" t="s">
        <v>1766</v>
      </c>
      <c r="D1484" s="186">
        <v>11.6</v>
      </c>
      <c r="E1484" s="186">
        <v>7.11</v>
      </c>
      <c r="F1484" s="186">
        <v>6.82</v>
      </c>
      <c r="G1484" s="186">
        <v>3.741549306</v>
      </c>
    </row>
    <row r="1485" spans="1:7" ht="14.4">
      <c r="A1485" s="186">
        <v>1484</v>
      </c>
      <c r="B1485" s="186" t="s">
        <v>178</v>
      </c>
      <c r="C1485" s="186" t="s">
        <v>1767</v>
      </c>
      <c r="D1485" s="187">
        <v>1133</v>
      </c>
      <c r="E1485" s="186">
        <v>7.11</v>
      </c>
      <c r="F1485" s="186">
        <v>6.82</v>
      </c>
      <c r="G1485" s="186">
        <v>3.741549306</v>
      </c>
    </row>
    <row r="1486" spans="1:7" ht="14.4">
      <c r="A1486" s="186">
        <v>1485</v>
      </c>
      <c r="B1486" s="186" t="s">
        <v>553</v>
      </c>
      <c r="C1486" s="186" t="s">
        <v>1768</v>
      </c>
      <c r="D1486" s="186">
        <v>3.2</v>
      </c>
      <c r="E1486" s="186">
        <v>7.38</v>
      </c>
      <c r="F1486" s="186">
        <v>6.82</v>
      </c>
      <c r="G1486" s="186">
        <v>3.741549306</v>
      </c>
    </row>
    <row r="1487" spans="1:7" ht="14.4">
      <c r="A1487" s="186">
        <v>1486</v>
      </c>
      <c r="B1487" s="186" t="s">
        <v>340</v>
      </c>
      <c r="C1487" s="186" t="s">
        <v>1769</v>
      </c>
      <c r="D1487" s="186">
        <v>9.1999999999999993</v>
      </c>
      <c r="E1487" s="186">
        <v>7.15</v>
      </c>
      <c r="F1487" s="186">
        <v>6.82</v>
      </c>
      <c r="G1487" s="186">
        <v>3.741549306</v>
      </c>
    </row>
    <row r="1488" spans="1:7" ht="14.4">
      <c r="A1488" s="186">
        <v>1487</v>
      </c>
      <c r="B1488" s="186" t="s">
        <v>1228</v>
      </c>
      <c r="C1488" s="186" t="s">
        <v>1770</v>
      </c>
      <c r="D1488" s="186">
        <v>811</v>
      </c>
      <c r="E1488" s="186">
        <v>6.91</v>
      </c>
      <c r="F1488" s="186">
        <v>6.83</v>
      </c>
      <c r="G1488" s="186">
        <v>3.7485608739999998</v>
      </c>
    </row>
    <row r="1489" spans="1:7" ht="14.4">
      <c r="A1489" s="186">
        <v>1488</v>
      </c>
      <c r="B1489" s="186" t="s">
        <v>178</v>
      </c>
      <c r="C1489" s="186" t="s">
        <v>1771</v>
      </c>
      <c r="D1489" s="186">
        <v>0.1</v>
      </c>
      <c r="E1489" s="186">
        <v>6.83</v>
      </c>
      <c r="F1489" s="186">
        <v>6.83</v>
      </c>
      <c r="G1489" s="186">
        <v>3.7485608739999998</v>
      </c>
    </row>
    <row r="1490" spans="1:7" ht="14.4">
      <c r="A1490" s="186">
        <v>1489</v>
      </c>
      <c r="B1490" s="186" t="s">
        <v>178</v>
      </c>
      <c r="C1490" s="186" t="s">
        <v>1772</v>
      </c>
      <c r="D1490" s="186">
        <v>256.3</v>
      </c>
      <c r="E1490" s="186">
        <v>7.11</v>
      </c>
      <c r="F1490" s="186">
        <v>6.83</v>
      </c>
      <c r="G1490" s="186">
        <v>3.7485608739999998</v>
      </c>
    </row>
    <row r="1491" spans="1:7" ht="14.4">
      <c r="A1491" s="186">
        <v>1490</v>
      </c>
      <c r="B1491" s="186" t="s">
        <v>153</v>
      </c>
      <c r="C1491" s="186" t="s">
        <v>1773</v>
      </c>
      <c r="D1491" s="187">
        <v>4716.2</v>
      </c>
      <c r="E1491" s="186">
        <v>7.13</v>
      </c>
      <c r="F1491" s="186">
        <v>6.83</v>
      </c>
      <c r="G1491" s="186">
        <v>3.7485608739999998</v>
      </c>
    </row>
    <row r="1492" spans="1:7" ht="14.4">
      <c r="A1492" s="186">
        <v>1491</v>
      </c>
      <c r="B1492" s="186" t="s">
        <v>415</v>
      </c>
      <c r="C1492" s="186" t="s">
        <v>1774</v>
      </c>
      <c r="D1492" s="187">
        <v>3608</v>
      </c>
      <c r="E1492" s="186">
        <v>6.93</v>
      </c>
      <c r="F1492" s="186">
        <v>6.83</v>
      </c>
      <c r="G1492" s="186">
        <v>3.7485608739999998</v>
      </c>
    </row>
    <row r="1493" spans="1:7" ht="14.4">
      <c r="A1493" s="186">
        <v>1492</v>
      </c>
      <c r="B1493" s="186" t="s">
        <v>210</v>
      </c>
      <c r="C1493" s="186" t="s">
        <v>1775</v>
      </c>
      <c r="D1493" s="187">
        <v>1332.4</v>
      </c>
      <c r="E1493" s="186">
        <v>7.18</v>
      </c>
      <c r="F1493" s="186">
        <v>6.84</v>
      </c>
      <c r="G1493" s="186">
        <v>3.7555849239999999</v>
      </c>
    </row>
    <row r="1494" spans="1:7" ht="14.4">
      <c r="A1494" s="186">
        <v>1493</v>
      </c>
      <c r="B1494" s="186" t="s">
        <v>1776</v>
      </c>
      <c r="C1494" s="186" t="s">
        <v>1777</v>
      </c>
      <c r="D1494" s="186">
        <v>58.9</v>
      </c>
      <c r="E1494" s="186">
        <v>6.9</v>
      </c>
      <c r="F1494" s="186">
        <v>6.84</v>
      </c>
      <c r="G1494" s="186">
        <v>3.7555849239999999</v>
      </c>
    </row>
    <row r="1495" spans="1:7" ht="14.4">
      <c r="A1495" s="186">
        <v>1494</v>
      </c>
      <c r="B1495" s="186" t="s">
        <v>241</v>
      </c>
      <c r="C1495" s="186" t="s">
        <v>1778</v>
      </c>
      <c r="D1495" s="186">
        <v>304</v>
      </c>
      <c r="E1495" s="186">
        <v>7.17</v>
      </c>
      <c r="F1495" s="186">
        <v>6.85</v>
      </c>
      <c r="G1495" s="186">
        <v>3.7626214760000001</v>
      </c>
    </row>
    <row r="1496" spans="1:7" ht="14.4">
      <c r="A1496" s="186">
        <v>1495</v>
      </c>
      <c r="B1496" s="186" t="s">
        <v>241</v>
      </c>
      <c r="C1496" s="186" t="s">
        <v>1779</v>
      </c>
      <c r="D1496" s="186">
        <v>64.8</v>
      </c>
      <c r="E1496" s="186">
        <v>7.17</v>
      </c>
      <c r="F1496" s="186">
        <v>6.85</v>
      </c>
      <c r="G1496" s="186">
        <v>3.7626214760000001</v>
      </c>
    </row>
    <row r="1497" spans="1:7" ht="14.4">
      <c r="A1497" s="186">
        <v>1496</v>
      </c>
      <c r="B1497" s="186" t="s">
        <v>1228</v>
      </c>
      <c r="C1497" s="186" t="s">
        <v>1780</v>
      </c>
      <c r="D1497" s="186">
        <v>612.6</v>
      </c>
      <c r="E1497" s="186">
        <v>6.94</v>
      </c>
      <c r="F1497" s="186">
        <v>6.85</v>
      </c>
      <c r="G1497" s="186">
        <v>3.7626214760000001</v>
      </c>
    </row>
    <row r="1498" spans="1:7" ht="14.4">
      <c r="A1498" s="186">
        <v>1497</v>
      </c>
      <c r="B1498" s="186" t="s">
        <v>187</v>
      </c>
      <c r="C1498" s="186" t="s">
        <v>1781</v>
      </c>
      <c r="D1498" s="186">
        <v>699.9</v>
      </c>
      <c r="E1498" s="186">
        <v>6.96</v>
      </c>
      <c r="F1498" s="186">
        <v>6.85</v>
      </c>
      <c r="G1498" s="186">
        <v>3.7626214760000001</v>
      </c>
    </row>
    <row r="1499" spans="1:7" ht="14.4">
      <c r="A1499" s="186">
        <v>1498</v>
      </c>
      <c r="B1499" s="186" t="s">
        <v>1228</v>
      </c>
      <c r="C1499" s="186" t="s">
        <v>1782</v>
      </c>
      <c r="D1499" s="186">
        <v>29.9</v>
      </c>
      <c r="E1499" s="186">
        <v>6.95</v>
      </c>
      <c r="F1499" s="186">
        <v>6.86</v>
      </c>
      <c r="G1499" s="186">
        <v>3.769670552</v>
      </c>
    </row>
    <row r="1500" spans="1:7" ht="14.4">
      <c r="A1500" s="186">
        <v>1499</v>
      </c>
      <c r="B1500" s="186" t="s">
        <v>271</v>
      </c>
      <c r="C1500" s="186" t="s">
        <v>1783</v>
      </c>
      <c r="D1500" s="186">
        <v>103</v>
      </c>
      <c r="E1500" s="186">
        <v>6.43</v>
      </c>
      <c r="F1500" s="186">
        <v>6.86</v>
      </c>
      <c r="G1500" s="186">
        <v>3.769670552</v>
      </c>
    </row>
    <row r="1501" spans="1:7" ht="14.4">
      <c r="A1501" s="186">
        <v>1500</v>
      </c>
      <c r="B1501" s="186" t="s">
        <v>178</v>
      </c>
      <c r="C1501" s="186" t="s">
        <v>1784</v>
      </c>
      <c r="D1501" s="186">
        <v>25.9</v>
      </c>
      <c r="E1501" s="186">
        <v>7.15</v>
      </c>
      <c r="F1501" s="186">
        <v>6.86</v>
      </c>
      <c r="G1501" s="186">
        <v>3.769670552</v>
      </c>
    </row>
    <row r="1502" spans="1:7" ht="14.4">
      <c r="A1502" s="186">
        <v>1501</v>
      </c>
      <c r="B1502" s="186" t="s">
        <v>263</v>
      </c>
      <c r="C1502" s="186" t="s">
        <v>1785</v>
      </c>
      <c r="D1502" s="187">
        <v>2889.9</v>
      </c>
      <c r="E1502" s="186">
        <v>7.2</v>
      </c>
      <c r="F1502" s="186">
        <v>6.86</v>
      </c>
      <c r="G1502" s="186">
        <v>3.769670552</v>
      </c>
    </row>
    <row r="1503" spans="1:7" ht="14.4">
      <c r="A1503" s="186">
        <v>1502</v>
      </c>
      <c r="B1503" s="186" t="s">
        <v>373</v>
      </c>
      <c r="C1503" s="186" t="s">
        <v>1786</v>
      </c>
      <c r="D1503" s="186">
        <v>143.4</v>
      </c>
      <c r="E1503" s="186">
        <v>7.08</v>
      </c>
      <c r="F1503" s="186">
        <v>6.86</v>
      </c>
      <c r="G1503" s="186">
        <v>3.769670552</v>
      </c>
    </row>
    <row r="1504" spans="1:7" ht="14.4">
      <c r="A1504" s="186">
        <v>1503</v>
      </c>
      <c r="B1504" s="186" t="s">
        <v>133</v>
      </c>
      <c r="C1504" s="186" t="s">
        <v>1787</v>
      </c>
      <c r="D1504" s="187">
        <v>3007.9</v>
      </c>
      <c r="E1504" s="186">
        <v>6.68</v>
      </c>
      <c r="F1504" s="186">
        <v>6.86</v>
      </c>
      <c r="G1504" s="186">
        <v>3.769670552</v>
      </c>
    </row>
    <row r="1505" spans="1:7" ht="14.4">
      <c r="A1505" s="186">
        <v>1504</v>
      </c>
      <c r="B1505" s="186" t="s">
        <v>288</v>
      </c>
      <c r="C1505" s="186" t="s">
        <v>1788</v>
      </c>
      <c r="D1505" s="186">
        <v>305.7</v>
      </c>
      <c r="E1505" s="186">
        <v>7.14</v>
      </c>
      <c r="F1505" s="186">
        <v>6.86</v>
      </c>
      <c r="G1505" s="186">
        <v>3.769670552</v>
      </c>
    </row>
    <row r="1506" spans="1:7" ht="14.4">
      <c r="A1506" s="186">
        <v>1505</v>
      </c>
      <c r="B1506" s="186" t="s">
        <v>834</v>
      </c>
      <c r="C1506" s="186" t="s">
        <v>1789</v>
      </c>
      <c r="D1506" s="187">
        <v>1124</v>
      </c>
      <c r="E1506" s="186">
        <v>6.9</v>
      </c>
      <c r="F1506" s="186">
        <v>6.86</v>
      </c>
      <c r="G1506" s="186">
        <v>3.769670552</v>
      </c>
    </row>
    <row r="1507" spans="1:7" ht="14.4">
      <c r="A1507" s="186">
        <v>1506</v>
      </c>
      <c r="B1507" s="186" t="s">
        <v>245</v>
      </c>
      <c r="C1507" s="186" t="s">
        <v>1790</v>
      </c>
      <c r="D1507" s="186">
        <v>579.79999999999995</v>
      </c>
      <c r="E1507" s="186">
        <v>6.55</v>
      </c>
      <c r="F1507" s="186">
        <v>6.86</v>
      </c>
      <c r="G1507" s="186">
        <v>3.769670552</v>
      </c>
    </row>
    <row r="1508" spans="1:7" ht="14.4">
      <c r="A1508" s="186">
        <v>1507</v>
      </c>
      <c r="B1508" s="186" t="s">
        <v>184</v>
      </c>
      <c r="C1508" s="186" t="s">
        <v>1791</v>
      </c>
      <c r="D1508" s="187">
        <v>3300.6</v>
      </c>
      <c r="E1508" s="186">
        <v>7.13</v>
      </c>
      <c r="F1508" s="186">
        <v>6.86</v>
      </c>
      <c r="G1508" s="186">
        <v>3.769670552</v>
      </c>
    </row>
    <row r="1509" spans="1:7" ht="14.4">
      <c r="A1509" s="186">
        <v>1508</v>
      </c>
      <c r="B1509" s="186" t="s">
        <v>280</v>
      </c>
      <c r="C1509" s="186" t="s">
        <v>1792</v>
      </c>
      <c r="D1509" s="186">
        <v>64.099999999999994</v>
      </c>
      <c r="E1509" s="186">
        <v>7.15</v>
      </c>
      <c r="F1509" s="186">
        <v>6.86</v>
      </c>
      <c r="G1509" s="186">
        <v>3.769670552</v>
      </c>
    </row>
    <row r="1510" spans="1:7" ht="14.4">
      <c r="A1510" s="186">
        <v>1509</v>
      </c>
      <c r="B1510" s="186" t="s">
        <v>742</v>
      </c>
      <c r="C1510" s="186" t="s">
        <v>1793</v>
      </c>
      <c r="D1510" s="186">
        <v>76.599999999999994</v>
      </c>
      <c r="E1510" s="186">
        <v>7.14</v>
      </c>
      <c r="F1510" s="186">
        <v>6.87</v>
      </c>
      <c r="G1510" s="186">
        <v>3.776732172</v>
      </c>
    </row>
    <row r="1511" spans="1:7" ht="14.4">
      <c r="A1511" s="186">
        <v>1510</v>
      </c>
      <c r="B1511" s="186" t="s">
        <v>1150</v>
      </c>
      <c r="C1511" s="186" t="s">
        <v>1794</v>
      </c>
      <c r="D1511" s="186">
        <v>67.7</v>
      </c>
      <c r="E1511" s="186">
        <v>7.21</v>
      </c>
      <c r="F1511" s="186">
        <v>6.87</v>
      </c>
      <c r="G1511" s="186">
        <v>3.776732172</v>
      </c>
    </row>
    <row r="1512" spans="1:7" ht="14.4">
      <c r="A1512" s="186">
        <v>1511</v>
      </c>
      <c r="B1512" s="186" t="s">
        <v>178</v>
      </c>
      <c r="C1512" s="186" t="s">
        <v>1795</v>
      </c>
      <c r="D1512" s="187">
        <v>1895.4</v>
      </c>
      <c r="E1512" s="186">
        <v>6.68</v>
      </c>
      <c r="F1512" s="186">
        <v>6.87</v>
      </c>
      <c r="G1512" s="186">
        <v>3.776732172</v>
      </c>
    </row>
    <row r="1513" spans="1:7" ht="14.4">
      <c r="A1513" s="186">
        <v>1512</v>
      </c>
      <c r="B1513" s="186" t="s">
        <v>226</v>
      </c>
      <c r="C1513" s="186" t="s">
        <v>1796</v>
      </c>
      <c r="D1513" s="186">
        <v>1.2</v>
      </c>
      <c r="E1513" s="186">
        <v>6.95</v>
      </c>
      <c r="F1513" s="186">
        <v>6.87</v>
      </c>
      <c r="G1513" s="186">
        <v>3.776732172</v>
      </c>
    </row>
    <row r="1514" spans="1:7" ht="14.4">
      <c r="A1514" s="186">
        <v>1513</v>
      </c>
      <c r="B1514" s="186" t="s">
        <v>126</v>
      </c>
      <c r="C1514" s="186" t="s">
        <v>1797</v>
      </c>
      <c r="D1514" s="186">
        <v>79.599999999999994</v>
      </c>
      <c r="E1514" s="186">
        <v>7.21</v>
      </c>
      <c r="F1514" s="186">
        <v>6.87</v>
      </c>
      <c r="G1514" s="186">
        <v>3.776732172</v>
      </c>
    </row>
    <row r="1515" spans="1:7" ht="14.4">
      <c r="A1515" s="186">
        <v>1514</v>
      </c>
      <c r="B1515" s="186" t="s">
        <v>210</v>
      </c>
      <c r="C1515" s="186" t="s">
        <v>1798</v>
      </c>
      <c r="D1515" s="187">
        <v>1196.5</v>
      </c>
      <c r="E1515" s="186">
        <v>7.2</v>
      </c>
      <c r="F1515" s="186">
        <v>6.87</v>
      </c>
      <c r="G1515" s="186">
        <v>3.776732172</v>
      </c>
    </row>
    <row r="1516" spans="1:7" ht="14.4">
      <c r="A1516" s="186">
        <v>1515</v>
      </c>
      <c r="B1516" s="186" t="s">
        <v>834</v>
      </c>
      <c r="C1516" s="186" t="s">
        <v>1799</v>
      </c>
      <c r="D1516" s="186">
        <v>7.8</v>
      </c>
      <c r="E1516" s="186">
        <v>7.17</v>
      </c>
      <c r="F1516" s="186">
        <v>6.87</v>
      </c>
      <c r="G1516" s="186">
        <v>3.776732172</v>
      </c>
    </row>
    <row r="1517" spans="1:7" ht="14.4">
      <c r="A1517" s="186">
        <v>1516</v>
      </c>
      <c r="B1517" s="186" t="s">
        <v>948</v>
      </c>
      <c r="C1517" s="186" t="s">
        <v>1800</v>
      </c>
      <c r="D1517" s="186">
        <v>54</v>
      </c>
      <c r="E1517" s="186">
        <v>7.15</v>
      </c>
      <c r="F1517" s="186">
        <v>6.87</v>
      </c>
      <c r="G1517" s="186">
        <v>3.776732172</v>
      </c>
    </row>
    <row r="1518" spans="1:7" ht="14.4">
      <c r="A1518" s="186">
        <v>1517</v>
      </c>
      <c r="B1518" s="186" t="s">
        <v>280</v>
      </c>
      <c r="C1518" s="186" t="s">
        <v>1801</v>
      </c>
      <c r="D1518" s="186">
        <v>3.5</v>
      </c>
      <c r="E1518" s="186">
        <v>7.08</v>
      </c>
      <c r="F1518" s="186">
        <v>6.87</v>
      </c>
      <c r="G1518" s="186">
        <v>3.776732172</v>
      </c>
    </row>
    <row r="1519" spans="1:7" ht="14.4">
      <c r="A1519" s="186">
        <v>1518</v>
      </c>
      <c r="B1519" s="186" t="s">
        <v>178</v>
      </c>
      <c r="C1519" s="186" t="s">
        <v>1802</v>
      </c>
      <c r="D1519" s="186">
        <v>48</v>
      </c>
      <c r="E1519" s="186">
        <v>7.14</v>
      </c>
      <c r="F1519" s="186">
        <v>6.88</v>
      </c>
      <c r="G1519" s="186">
        <v>3.7838063580000001</v>
      </c>
    </row>
    <row r="1520" spans="1:7" ht="14.4">
      <c r="A1520" s="186">
        <v>1519</v>
      </c>
      <c r="B1520" s="186" t="s">
        <v>712</v>
      </c>
      <c r="C1520" s="186" t="s">
        <v>1803</v>
      </c>
      <c r="D1520" s="186">
        <v>1.4</v>
      </c>
      <c r="E1520" s="186">
        <v>6.96</v>
      </c>
      <c r="F1520" s="186">
        <v>6.88</v>
      </c>
      <c r="G1520" s="186">
        <v>3.7838063580000001</v>
      </c>
    </row>
    <row r="1521" spans="1:7" ht="14.4">
      <c r="A1521" s="186">
        <v>1520</v>
      </c>
      <c r="B1521" s="186" t="s">
        <v>263</v>
      </c>
      <c r="C1521" s="186" t="s">
        <v>1804</v>
      </c>
      <c r="D1521" s="186">
        <v>82.4</v>
      </c>
      <c r="E1521" s="186">
        <v>7.11</v>
      </c>
      <c r="F1521" s="186">
        <v>6.88</v>
      </c>
      <c r="G1521" s="186">
        <v>3.7838063580000001</v>
      </c>
    </row>
    <row r="1522" spans="1:7" ht="14.4">
      <c r="A1522" s="186">
        <v>1521</v>
      </c>
      <c r="B1522" s="186" t="s">
        <v>365</v>
      </c>
      <c r="C1522" s="186" t="s">
        <v>1805</v>
      </c>
      <c r="D1522" s="186">
        <v>186.2</v>
      </c>
      <c r="E1522" s="186">
        <v>6.81</v>
      </c>
      <c r="F1522" s="186">
        <v>6.88</v>
      </c>
      <c r="G1522" s="186">
        <v>3.7838063580000001</v>
      </c>
    </row>
    <row r="1523" spans="1:7" ht="14.4">
      <c r="A1523" s="186">
        <v>1522</v>
      </c>
      <c r="B1523" s="186" t="s">
        <v>210</v>
      </c>
      <c r="C1523" s="186" t="s">
        <v>1806</v>
      </c>
      <c r="D1523" s="187">
        <v>6645.7</v>
      </c>
      <c r="E1523" s="186">
        <v>7.17</v>
      </c>
      <c r="F1523" s="186">
        <v>6.88</v>
      </c>
      <c r="G1523" s="186">
        <v>3.7838063580000001</v>
      </c>
    </row>
    <row r="1524" spans="1:7" ht="14.4">
      <c r="A1524" s="186">
        <v>1523</v>
      </c>
      <c r="B1524" s="186" t="s">
        <v>1807</v>
      </c>
      <c r="C1524" s="186" t="s">
        <v>1808</v>
      </c>
      <c r="D1524" s="186">
        <v>219.7</v>
      </c>
      <c r="E1524" s="186">
        <v>7.32</v>
      </c>
      <c r="F1524" s="186">
        <v>6.88</v>
      </c>
      <c r="G1524" s="186">
        <v>3.7838063580000001</v>
      </c>
    </row>
    <row r="1525" spans="1:7" ht="14.4">
      <c r="A1525" s="186">
        <v>1524</v>
      </c>
      <c r="B1525" s="186" t="s">
        <v>415</v>
      </c>
      <c r="C1525" s="186" t="s">
        <v>1809</v>
      </c>
      <c r="D1525" s="187">
        <v>9191.6</v>
      </c>
      <c r="E1525" s="186">
        <v>6.89</v>
      </c>
      <c r="F1525" s="186">
        <v>6.88</v>
      </c>
      <c r="G1525" s="186">
        <v>3.7838063580000001</v>
      </c>
    </row>
    <row r="1526" spans="1:7" ht="14.4">
      <c r="A1526" s="186">
        <v>1525</v>
      </c>
      <c r="B1526" s="186" t="s">
        <v>335</v>
      </c>
      <c r="C1526" s="186" t="s">
        <v>1810</v>
      </c>
      <c r="D1526" s="186">
        <v>499.1</v>
      </c>
      <c r="E1526" s="186">
        <v>7.03</v>
      </c>
      <c r="F1526" s="186">
        <v>6.88</v>
      </c>
      <c r="G1526" s="186">
        <v>3.7838063580000001</v>
      </c>
    </row>
    <row r="1527" spans="1:7" ht="14.4">
      <c r="A1527" s="186">
        <v>1526</v>
      </c>
      <c r="B1527" s="186" t="s">
        <v>1290</v>
      </c>
      <c r="C1527" s="186" t="s">
        <v>1811</v>
      </c>
      <c r="D1527" s="186">
        <v>298</v>
      </c>
      <c r="E1527" s="186">
        <v>7.09</v>
      </c>
      <c r="F1527" s="186">
        <v>6.88</v>
      </c>
      <c r="G1527" s="186">
        <v>3.7838063580000001</v>
      </c>
    </row>
    <row r="1528" spans="1:7" ht="14.4">
      <c r="A1528" s="186">
        <v>1527</v>
      </c>
      <c r="B1528" s="186" t="s">
        <v>392</v>
      </c>
      <c r="C1528" s="186" t="s">
        <v>1812</v>
      </c>
      <c r="D1528" s="187">
        <v>7387.2</v>
      </c>
      <c r="E1528" s="186">
        <v>7.19</v>
      </c>
      <c r="F1528" s="186">
        <v>6.88</v>
      </c>
      <c r="G1528" s="186">
        <v>3.7838063580000001</v>
      </c>
    </row>
    <row r="1529" spans="1:7" ht="14.4">
      <c r="A1529" s="186">
        <v>1528</v>
      </c>
      <c r="B1529" s="186" t="s">
        <v>420</v>
      </c>
      <c r="C1529" s="186" t="s">
        <v>1813</v>
      </c>
      <c r="D1529" s="186">
        <v>166.9</v>
      </c>
      <c r="E1529" s="186">
        <v>6.46</v>
      </c>
      <c r="F1529" s="186">
        <v>6.88</v>
      </c>
      <c r="G1529" s="186">
        <v>3.7838063580000001</v>
      </c>
    </row>
    <row r="1530" spans="1:7" ht="14.4">
      <c r="A1530" s="186">
        <v>1529</v>
      </c>
      <c r="B1530" s="186" t="s">
        <v>184</v>
      </c>
      <c r="C1530" s="186" t="s">
        <v>1814</v>
      </c>
      <c r="D1530" s="187">
        <v>132229.4</v>
      </c>
      <c r="E1530" s="186">
        <v>7.18</v>
      </c>
      <c r="F1530" s="186">
        <v>6.88</v>
      </c>
      <c r="G1530" s="186">
        <v>3.7838063580000001</v>
      </c>
    </row>
    <row r="1531" spans="1:7" ht="14.4">
      <c r="A1531" s="186">
        <v>1530</v>
      </c>
      <c r="B1531" s="186" t="s">
        <v>1228</v>
      </c>
      <c r="C1531" s="186" t="s">
        <v>1815</v>
      </c>
      <c r="D1531" s="186">
        <v>11.5</v>
      </c>
      <c r="E1531" s="186">
        <v>7.08</v>
      </c>
      <c r="F1531" s="186">
        <v>6.89</v>
      </c>
      <c r="G1531" s="186">
        <v>3.7908931309999998</v>
      </c>
    </row>
    <row r="1532" spans="1:7" ht="14.4">
      <c r="A1532" s="186">
        <v>1531</v>
      </c>
      <c r="B1532" s="186" t="s">
        <v>571</v>
      </c>
      <c r="C1532" s="186" t="s">
        <v>1816</v>
      </c>
      <c r="D1532" s="186">
        <v>84.5</v>
      </c>
      <c r="E1532" s="186">
        <v>7.28</v>
      </c>
      <c r="F1532" s="186">
        <v>6.89</v>
      </c>
      <c r="G1532" s="186">
        <v>3.7908931309999998</v>
      </c>
    </row>
    <row r="1533" spans="1:7" ht="14.4">
      <c r="A1533" s="186">
        <v>1532</v>
      </c>
      <c r="B1533" s="186" t="s">
        <v>1817</v>
      </c>
      <c r="C1533" s="186" t="s">
        <v>1818</v>
      </c>
      <c r="D1533" s="186">
        <v>452.1</v>
      </c>
      <c r="E1533" s="186">
        <v>7.11</v>
      </c>
      <c r="F1533" s="186">
        <v>6.89</v>
      </c>
      <c r="G1533" s="186">
        <v>3.7908931309999998</v>
      </c>
    </row>
    <row r="1534" spans="1:7" ht="14.4">
      <c r="A1534" s="186">
        <v>1533</v>
      </c>
      <c r="B1534" s="186" t="s">
        <v>178</v>
      </c>
      <c r="C1534" s="186" t="s">
        <v>1819</v>
      </c>
      <c r="D1534" s="186">
        <v>129.9</v>
      </c>
      <c r="E1534" s="186">
        <v>7.13</v>
      </c>
      <c r="F1534" s="186">
        <v>6.89</v>
      </c>
      <c r="G1534" s="186">
        <v>3.7908931309999998</v>
      </c>
    </row>
    <row r="1535" spans="1:7" ht="14.4">
      <c r="A1535" s="186">
        <v>1534</v>
      </c>
      <c r="B1535" s="186" t="s">
        <v>178</v>
      </c>
      <c r="C1535" s="186" t="s">
        <v>1820</v>
      </c>
      <c r="D1535" s="186">
        <v>23.4</v>
      </c>
      <c r="E1535" s="186">
        <v>7.31</v>
      </c>
      <c r="F1535" s="186">
        <v>6.89</v>
      </c>
      <c r="G1535" s="186">
        <v>3.7908931309999998</v>
      </c>
    </row>
    <row r="1536" spans="1:7" ht="14.4">
      <c r="A1536" s="186">
        <v>1535</v>
      </c>
      <c r="B1536" s="186" t="s">
        <v>1499</v>
      </c>
      <c r="C1536" s="186" t="s">
        <v>1821</v>
      </c>
      <c r="D1536" s="186">
        <v>336.2</v>
      </c>
      <c r="E1536" s="186">
        <v>7.12</v>
      </c>
      <c r="F1536" s="186">
        <v>6.89</v>
      </c>
      <c r="G1536" s="186">
        <v>3.7908931309999998</v>
      </c>
    </row>
    <row r="1537" spans="1:7" ht="14.4">
      <c r="A1537" s="186">
        <v>1536</v>
      </c>
      <c r="B1537" s="186" t="s">
        <v>1290</v>
      </c>
      <c r="C1537" s="186" t="s">
        <v>1822</v>
      </c>
      <c r="D1537" s="186">
        <v>13.1</v>
      </c>
      <c r="E1537" s="186">
        <v>7.1</v>
      </c>
      <c r="F1537" s="186">
        <v>6.89</v>
      </c>
      <c r="G1537" s="186">
        <v>3.7908931309999998</v>
      </c>
    </row>
    <row r="1538" spans="1:7" ht="14.4">
      <c r="A1538" s="186">
        <v>1537</v>
      </c>
      <c r="B1538" s="186" t="s">
        <v>834</v>
      </c>
      <c r="C1538" s="186" t="s">
        <v>1823</v>
      </c>
      <c r="D1538" s="186">
        <v>15</v>
      </c>
      <c r="E1538" s="186">
        <v>6.58</v>
      </c>
      <c r="F1538" s="186">
        <v>6.89</v>
      </c>
      <c r="G1538" s="186">
        <v>3.7908931309999998</v>
      </c>
    </row>
    <row r="1539" spans="1:7" ht="14.4">
      <c r="A1539" s="186">
        <v>1538</v>
      </c>
      <c r="B1539" s="186" t="s">
        <v>834</v>
      </c>
      <c r="C1539" s="186" t="s">
        <v>1824</v>
      </c>
      <c r="D1539" s="186">
        <v>175</v>
      </c>
      <c r="E1539" s="186">
        <v>6.58</v>
      </c>
      <c r="F1539" s="186">
        <v>6.89</v>
      </c>
      <c r="G1539" s="186">
        <v>3.7908931309999998</v>
      </c>
    </row>
    <row r="1540" spans="1:7" ht="14.4">
      <c r="A1540" s="186">
        <v>1539</v>
      </c>
      <c r="B1540" s="186" t="s">
        <v>234</v>
      </c>
      <c r="C1540" s="186" t="s">
        <v>1825</v>
      </c>
      <c r="D1540" s="186">
        <v>37.4</v>
      </c>
      <c r="E1540" s="186">
        <v>7.32</v>
      </c>
      <c r="F1540" s="186">
        <v>6.9</v>
      </c>
      <c r="G1540" s="186">
        <v>3.797992512</v>
      </c>
    </row>
    <row r="1541" spans="1:7" ht="14.4">
      <c r="A1541" s="186">
        <v>1540</v>
      </c>
      <c r="B1541" s="186" t="s">
        <v>1228</v>
      </c>
      <c r="C1541" s="186" t="s">
        <v>1826</v>
      </c>
      <c r="D1541" s="187">
        <v>10737.4</v>
      </c>
      <c r="E1541" s="186">
        <v>6.84</v>
      </c>
      <c r="F1541" s="186">
        <v>6.9</v>
      </c>
      <c r="G1541" s="186">
        <v>3.797992512</v>
      </c>
    </row>
    <row r="1542" spans="1:7" ht="14.4">
      <c r="A1542" s="186">
        <v>1541</v>
      </c>
      <c r="B1542" s="186" t="s">
        <v>1008</v>
      </c>
      <c r="C1542" s="186" t="s">
        <v>1827</v>
      </c>
      <c r="D1542" s="186">
        <v>0.6</v>
      </c>
      <c r="E1542" s="186">
        <v>7.21</v>
      </c>
      <c r="F1542" s="186">
        <v>6.9</v>
      </c>
      <c r="G1542" s="186">
        <v>3.797992512</v>
      </c>
    </row>
    <row r="1543" spans="1:7" ht="14.4">
      <c r="A1543" s="186">
        <v>1542</v>
      </c>
      <c r="B1543" s="186" t="s">
        <v>1828</v>
      </c>
      <c r="C1543" s="186" t="s">
        <v>1829</v>
      </c>
      <c r="D1543" s="186">
        <v>347.9</v>
      </c>
      <c r="E1543" s="186">
        <v>6.36</v>
      </c>
      <c r="F1543" s="186">
        <v>6.9</v>
      </c>
      <c r="G1543" s="186">
        <v>3.797992512</v>
      </c>
    </row>
    <row r="1544" spans="1:7" ht="14.4">
      <c r="A1544" s="186">
        <v>1543</v>
      </c>
      <c r="B1544" s="186" t="s">
        <v>178</v>
      </c>
      <c r="C1544" s="186" t="s">
        <v>1830</v>
      </c>
      <c r="D1544" s="186">
        <v>79.8</v>
      </c>
      <c r="E1544" s="186">
        <v>6.82</v>
      </c>
      <c r="F1544" s="186">
        <v>6.9</v>
      </c>
      <c r="G1544" s="186">
        <v>3.797992512</v>
      </c>
    </row>
    <row r="1545" spans="1:7" ht="14.4">
      <c r="A1545" s="186">
        <v>1544</v>
      </c>
      <c r="B1545" s="186" t="s">
        <v>178</v>
      </c>
      <c r="C1545" s="186" t="s">
        <v>1831</v>
      </c>
      <c r="D1545" s="186">
        <v>184.5</v>
      </c>
      <c r="E1545" s="186">
        <v>7.18</v>
      </c>
      <c r="F1545" s="186">
        <v>6.9</v>
      </c>
      <c r="G1545" s="186">
        <v>3.797992512</v>
      </c>
    </row>
    <row r="1546" spans="1:7" ht="14.4">
      <c r="A1546" s="186">
        <v>1545</v>
      </c>
      <c r="B1546" s="186" t="s">
        <v>133</v>
      </c>
      <c r="C1546" s="186" t="s">
        <v>1832</v>
      </c>
      <c r="D1546" s="186">
        <v>68.3</v>
      </c>
      <c r="E1546" s="186">
        <v>7.09</v>
      </c>
      <c r="F1546" s="186">
        <v>6.9</v>
      </c>
      <c r="G1546" s="186">
        <v>3.797992512</v>
      </c>
    </row>
    <row r="1547" spans="1:7" ht="14.4">
      <c r="A1547" s="186">
        <v>1546</v>
      </c>
      <c r="B1547" s="186" t="s">
        <v>1499</v>
      </c>
      <c r="C1547" s="186" t="s">
        <v>1833</v>
      </c>
      <c r="D1547" s="186">
        <v>689.9</v>
      </c>
      <c r="E1547" s="186">
        <v>7.18</v>
      </c>
      <c r="F1547" s="186">
        <v>6.9</v>
      </c>
      <c r="G1547" s="186">
        <v>3.797992512</v>
      </c>
    </row>
    <row r="1548" spans="1:7" ht="14.4">
      <c r="A1548" s="186">
        <v>1547</v>
      </c>
      <c r="B1548" s="186" t="s">
        <v>184</v>
      </c>
      <c r="C1548" s="186" t="s">
        <v>1834</v>
      </c>
      <c r="D1548" s="187">
        <v>96676.3</v>
      </c>
      <c r="E1548" s="186" t="s">
        <v>152</v>
      </c>
      <c r="F1548" s="186">
        <v>6.9</v>
      </c>
      <c r="G1548" s="186">
        <v>3.797992512</v>
      </c>
    </row>
    <row r="1549" spans="1:7" ht="14.4">
      <c r="A1549" s="186">
        <v>1548</v>
      </c>
      <c r="B1549" s="186" t="s">
        <v>1228</v>
      </c>
      <c r="C1549" s="186" t="s">
        <v>1835</v>
      </c>
      <c r="D1549" s="187">
        <v>1314</v>
      </c>
      <c r="E1549" s="186">
        <v>6.53</v>
      </c>
      <c r="F1549" s="186">
        <v>6.91</v>
      </c>
      <c r="G1549" s="186">
        <v>3.8051045229999998</v>
      </c>
    </row>
    <row r="1550" spans="1:7" ht="14.4">
      <c r="A1550" s="186">
        <v>1549</v>
      </c>
      <c r="B1550" s="186" t="s">
        <v>271</v>
      </c>
      <c r="C1550" s="186" t="s">
        <v>1836</v>
      </c>
      <c r="D1550" s="186">
        <v>513.70000000000005</v>
      </c>
      <c r="E1550" s="186">
        <v>7.29</v>
      </c>
      <c r="F1550" s="186">
        <v>6.91</v>
      </c>
      <c r="G1550" s="186">
        <v>3.8051045229999998</v>
      </c>
    </row>
    <row r="1551" spans="1:7" ht="14.4">
      <c r="A1551" s="186">
        <v>1550</v>
      </c>
      <c r="B1551" s="186" t="s">
        <v>122</v>
      </c>
      <c r="C1551" s="186" t="s">
        <v>1837</v>
      </c>
      <c r="D1551" s="187">
        <v>1879.9</v>
      </c>
      <c r="E1551" s="186">
        <v>7.08</v>
      </c>
      <c r="F1551" s="186">
        <v>6.91</v>
      </c>
      <c r="G1551" s="186">
        <v>3.8051045229999998</v>
      </c>
    </row>
    <row r="1552" spans="1:7" ht="14.4">
      <c r="A1552" s="186">
        <v>1551</v>
      </c>
      <c r="B1552" s="186" t="s">
        <v>1807</v>
      </c>
      <c r="C1552" s="186" t="s">
        <v>1838</v>
      </c>
      <c r="D1552" s="186">
        <v>105.7</v>
      </c>
      <c r="E1552" s="186">
        <v>7.2</v>
      </c>
      <c r="F1552" s="186">
        <v>6.91</v>
      </c>
      <c r="G1552" s="186">
        <v>3.8051045229999998</v>
      </c>
    </row>
    <row r="1553" spans="1:7" ht="14.4">
      <c r="A1553" s="186">
        <v>1552</v>
      </c>
      <c r="B1553" s="186" t="s">
        <v>335</v>
      </c>
      <c r="C1553" s="186" t="s">
        <v>1839</v>
      </c>
      <c r="D1553" s="187">
        <v>13512.6</v>
      </c>
      <c r="E1553" s="186">
        <v>6.99</v>
      </c>
      <c r="F1553" s="186">
        <v>6.91</v>
      </c>
      <c r="G1553" s="186">
        <v>3.8051045229999998</v>
      </c>
    </row>
    <row r="1554" spans="1:7" ht="14.4">
      <c r="A1554" s="186">
        <v>1553</v>
      </c>
      <c r="B1554" s="186" t="s">
        <v>1290</v>
      </c>
      <c r="C1554" s="186" t="s">
        <v>1840</v>
      </c>
      <c r="D1554" s="187">
        <v>1515.9</v>
      </c>
      <c r="E1554" s="186">
        <v>6.76</v>
      </c>
      <c r="F1554" s="186">
        <v>6.91</v>
      </c>
      <c r="G1554" s="186">
        <v>3.8051045229999998</v>
      </c>
    </row>
    <row r="1555" spans="1:7" ht="14.4">
      <c r="A1555" s="186">
        <v>1554</v>
      </c>
      <c r="B1555" s="186" t="s">
        <v>1290</v>
      </c>
      <c r="C1555" s="186" t="s">
        <v>1841</v>
      </c>
      <c r="D1555" s="186">
        <v>17.600000000000001</v>
      </c>
      <c r="E1555" s="186">
        <v>7.05</v>
      </c>
      <c r="F1555" s="186">
        <v>6.91</v>
      </c>
      <c r="G1555" s="186">
        <v>3.8051045229999998</v>
      </c>
    </row>
    <row r="1556" spans="1:7" ht="14.4">
      <c r="A1556" s="186">
        <v>1555</v>
      </c>
      <c r="B1556" s="186" t="s">
        <v>834</v>
      </c>
      <c r="C1556" s="186" t="s">
        <v>1842</v>
      </c>
      <c r="D1556" s="186">
        <v>85.7</v>
      </c>
      <c r="E1556" s="186">
        <v>7.21</v>
      </c>
      <c r="F1556" s="186">
        <v>6.91</v>
      </c>
      <c r="G1556" s="186">
        <v>3.8051045229999998</v>
      </c>
    </row>
    <row r="1557" spans="1:7" ht="14.4">
      <c r="A1557" s="186">
        <v>1556</v>
      </c>
      <c r="B1557" s="186" t="s">
        <v>241</v>
      </c>
      <c r="C1557" s="186" t="s">
        <v>1843</v>
      </c>
      <c r="D1557" s="187">
        <v>1347.8</v>
      </c>
      <c r="E1557" s="186">
        <v>7.06</v>
      </c>
      <c r="F1557" s="186">
        <v>6.92</v>
      </c>
      <c r="G1557" s="186">
        <v>3.812229184</v>
      </c>
    </row>
    <row r="1558" spans="1:7" ht="14.4">
      <c r="A1558" s="186">
        <v>1557</v>
      </c>
      <c r="B1558" s="186" t="s">
        <v>252</v>
      </c>
      <c r="C1558" s="186" t="s">
        <v>1844</v>
      </c>
      <c r="D1558" s="186">
        <v>88.8</v>
      </c>
      <c r="E1558" s="186">
        <v>7.24</v>
      </c>
      <c r="F1558" s="186">
        <v>6.92</v>
      </c>
      <c r="G1558" s="186">
        <v>3.812229184</v>
      </c>
    </row>
    <row r="1559" spans="1:7" ht="14.4">
      <c r="A1559" s="186">
        <v>1558</v>
      </c>
      <c r="B1559" s="186" t="s">
        <v>210</v>
      </c>
      <c r="C1559" s="186" t="s">
        <v>1845</v>
      </c>
      <c r="D1559" s="186">
        <v>359</v>
      </c>
      <c r="E1559" s="186">
        <v>7.17</v>
      </c>
      <c r="F1559" s="186">
        <v>6.92</v>
      </c>
      <c r="G1559" s="186">
        <v>3.812229184</v>
      </c>
    </row>
    <row r="1560" spans="1:7" ht="14.4">
      <c r="A1560" s="186">
        <v>1559</v>
      </c>
      <c r="B1560" s="186" t="s">
        <v>234</v>
      </c>
      <c r="C1560" s="186" t="s">
        <v>1846</v>
      </c>
      <c r="D1560" s="186">
        <v>18.3</v>
      </c>
      <c r="E1560" s="186">
        <v>7.35</v>
      </c>
      <c r="F1560" s="186">
        <v>6.93</v>
      </c>
      <c r="G1560" s="186">
        <v>3.8193665170000002</v>
      </c>
    </row>
    <row r="1561" spans="1:7" ht="14.4">
      <c r="A1561" s="186">
        <v>1560</v>
      </c>
      <c r="B1561" s="186" t="s">
        <v>178</v>
      </c>
      <c r="C1561" s="186" t="s">
        <v>1847</v>
      </c>
      <c r="D1561" s="186">
        <v>102.8</v>
      </c>
      <c r="E1561" s="186">
        <v>7.06</v>
      </c>
      <c r="F1561" s="186">
        <v>6.93</v>
      </c>
      <c r="G1561" s="186">
        <v>3.8193665170000002</v>
      </c>
    </row>
    <row r="1562" spans="1:7" ht="14.4">
      <c r="A1562" s="186">
        <v>1561</v>
      </c>
      <c r="B1562" s="186" t="s">
        <v>162</v>
      </c>
      <c r="C1562" s="186" t="s">
        <v>1848</v>
      </c>
      <c r="D1562" s="186">
        <v>43.1</v>
      </c>
      <c r="E1562" s="186">
        <v>7.15</v>
      </c>
      <c r="F1562" s="186">
        <v>6.93</v>
      </c>
      <c r="G1562" s="186">
        <v>3.8193665170000002</v>
      </c>
    </row>
    <row r="1563" spans="1:7" ht="14.4">
      <c r="A1563" s="186">
        <v>1562</v>
      </c>
      <c r="B1563" s="186" t="s">
        <v>175</v>
      </c>
      <c r="C1563" s="186" t="s">
        <v>1849</v>
      </c>
      <c r="D1563" s="186">
        <v>624.79999999999995</v>
      </c>
      <c r="E1563" s="186">
        <v>7.14</v>
      </c>
      <c r="F1563" s="186">
        <v>6.93</v>
      </c>
      <c r="G1563" s="186">
        <v>3.8193665170000002</v>
      </c>
    </row>
    <row r="1564" spans="1:7" ht="14.4">
      <c r="A1564" s="186">
        <v>1563</v>
      </c>
      <c r="B1564" s="186" t="s">
        <v>373</v>
      </c>
      <c r="C1564" s="186" t="s">
        <v>1850</v>
      </c>
      <c r="D1564" s="186">
        <v>26.4</v>
      </c>
      <c r="E1564" s="186">
        <v>7.26</v>
      </c>
      <c r="F1564" s="186">
        <v>6.93</v>
      </c>
      <c r="G1564" s="186">
        <v>3.8193665170000002</v>
      </c>
    </row>
    <row r="1565" spans="1:7" ht="14.4">
      <c r="A1565" s="186">
        <v>1564</v>
      </c>
      <c r="B1565" s="186" t="s">
        <v>213</v>
      </c>
      <c r="C1565" s="186" t="s">
        <v>1851</v>
      </c>
      <c r="D1565" s="186">
        <v>159.19999999999999</v>
      </c>
      <c r="E1565" s="186">
        <v>7.14</v>
      </c>
      <c r="F1565" s="186">
        <v>6.93</v>
      </c>
      <c r="G1565" s="186">
        <v>3.8193665170000002</v>
      </c>
    </row>
    <row r="1566" spans="1:7" ht="14.4">
      <c r="A1566" s="186">
        <v>1565</v>
      </c>
      <c r="B1566" s="186" t="s">
        <v>213</v>
      </c>
      <c r="C1566" s="186" t="s">
        <v>1852</v>
      </c>
      <c r="D1566" s="186">
        <v>422.4</v>
      </c>
      <c r="E1566" s="186">
        <v>7.14</v>
      </c>
      <c r="F1566" s="186">
        <v>6.93</v>
      </c>
      <c r="G1566" s="186">
        <v>3.8193665170000002</v>
      </c>
    </row>
    <row r="1567" spans="1:7" ht="14.4">
      <c r="A1567" s="186">
        <v>1566</v>
      </c>
      <c r="B1567" s="186" t="s">
        <v>213</v>
      </c>
      <c r="C1567" s="186" t="s">
        <v>1853</v>
      </c>
      <c r="D1567" s="186">
        <v>11.5</v>
      </c>
      <c r="E1567" s="186">
        <v>6.94</v>
      </c>
      <c r="F1567" s="186">
        <v>6.93</v>
      </c>
      <c r="G1567" s="186">
        <v>3.8193665170000002</v>
      </c>
    </row>
    <row r="1568" spans="1:7" ht="14.4">
      <c r="A1568" s="186">
        <v>1567</v>
      </c>
      <c r="B1568" s="186" t="s">
        <v>184</v>
      </c>
      <c r="C1568" s="186" t="s">
        <v>1854</v>
      </c>
      <c r="D1568" s="187">
        <v>5319.8</v>
      </c>
      <c r="E1568" s="186">
        <v>7.21</v>
      </c>
      <c r="F1568" s="186">
        <v>6.93</v>
      </c>
      <c r="G1568" s="186">
        <v>3.8193665170000002</v>
      </c>
    </row>
    <row r="1569" spans="1:7" ht="14.4">
      <c r="A1569" s="186">
        <v>1568</v>
      </c>
      <c r="B1569" s="186" t="s">
        <v>280</v>
      </c>
      <c r="C1569" s="186" t="s">
        <v>1855</v>
      </c>
      <c r="D1569" s="186">
        <v>73.599999999999994</v>
      </c>
      <c r="E1569" s="186">
        <v>6.53</v>
      </c>
      <c r="F1569" s="186">
        <v>6.93</v>
      </c>
      <c r="G1569" s="186">
        <v>3.8193665170000002</v>
      </c>
    </row>
    <row r="1570" spans="1:7" ht="14.4">
      <c r="A1570" s="186">
        <v>1569</v>
      </c>
      <c r="B1570" s="186" t="s">
        <v>340</v>
      </c>
      <c r="C1570" s="186" t="s">
        <v>1856</v>
      </c>
      <c r="D1570" s="186">
        <v>83.8</v>
      </c>
      <c r="E1570" s="186">
        <v>6.85</v>
      </c>
      <c r="F1570" s="186">
        <v>6.93</v>
      </c>
      <c r="G1570" s="186">
        <v>3.8193665170000002</v>
      </c>
    </row>
    <row r="1571" spans="1:7" ht="14.4">
      <c r="A1571" s="186">
        <v>1570</v>
      </c>
      <c r="B1571" s="186" t="s">
        <v>1228</v>
      </c>
      <c r="C1571" s="186" t="s">
        <v>1857</v>
      </c>
      <c r="D1571" s="187">
        <v>4496.5</v>
      </c>
      <c r="E1571" s="186">
        <v>6.88</v>
      </c>
      <c r="F1571" s="186">
        <v>6.94</v>
      </c>
      <c r="G1571" s="186">
        <v>3.8265165429999999</v>
      </c>
    </row>
    <row r="1572" spans="1:7" ht="14.4">
      <c r="A1572" s="186">
        <v>1571</v>
      </c>
      <c r="B1572" s="186" t="s">
        <v>263</v>
      </c>
      <c r="C1572" s="186" t="s">
        <v>1858</v>
      </c>
      <c r="D1572" s="186">
        <v>114.8</v>
      </c>
      <c r="E1572" s="186">
        <v>7.17</v>
      </c>
      <c r="F1572" s="186">
        <v>6.94</v>
      </c>
      <c r="G1572" s="186">
        <v>3.8265165429999999</v>
      </c>
    </row>
    <row r="1573" spans="1:7" ht="14.4">
      <c r="A1573" s="186">
        <v>1572</v>
      </c>
      <c r="B1573" s="186" t="s">
        <v>1605</v>
      </c>
      <c r="C1573" s="186" t="s">
        <v>1859</v>
      </c>
      <c r="D1573" s="186">
        <v>26.3</v>
      </c>
      <c r="E1573" s="186">
        <v>7.26</v>
      </c>
      <c r="F1573" s="186">
        <v>6.94</v>
      </c>
      <c r="G1573" s="186">
        <v>3.8265165429999999</v>
      </c>
    </row>
    <row r="1574" spans="1:7" ht="14.4">
      <c r="A1574" s="186">
        <v>1573</v>
      </c>
      <c r="B1574" s="186" t="s">
        <v>168</v>
      </c>
      <c r="C1574" s="186" t="s">
        <v>1860</v>
      </c>
      <c r="D1574" s="186">
        <v>40.6</v>
      </c>
      <c r="E1574" s="186">
        <v>6.99</v>
      </c>
      <c r="F1574" s="186">
        <v>6.94</v>
      </c>
      <c r="G1574" s="186">
        <v>3.8265165429999999</v>
      </c>
    </row>
    <row r="1575" spans="1:7" ht="14.4">
      <c r="A1575" s="186">
        <v>1574</v>
      </c>
      <c r="B1575" s="186" t="s">
        <v>252</v>
      </c>
      <c r="C1575" s="186" t="s">
        <v>1861</v>
      </c>
      <c r="D1575" s="186">
        <v>901.6</v>
      </c>
      <c r="E1575" s="186">
        <v>7.27</v>
      </c>
      <c r="F1575" s="186">
        <v>6.95</v>
      </c>
      <c r="G1575" s="186">
        <v>3.8336792850000001</v>
      </c>
    </row>
    <row r="1576" spans="1:7" ht="14.4">
      <c r="A1576" s="186">
        <v>1575</v>
      </c>
      <c r="B1576" s="186" t="s">
        <v>252</v>
      </c>
      <c r="C1576" s="186" t="s">
        <v>1862</v>
      </c>
      <c r="D1576" s="186">
        <v>95.1</v>
      </c>
      <c r="E1576" s="186">
        <v>7.27</v>
      </c>
      <c r="F1576" s="186">
        <v>6.95</v>
      </c>
      <c r="G1576" s="186">
        <v>3.8336792850000001</v>
      </c>
    </row>
    <row r="1577" spans="1:7" ht="14.4">
      <c r="A1577" s="186">
        <v>1576</v>
      </c>
      <c r="B1577" s="186" t="s">
        <v>153</v>
      </c>
      <c r="C1577" s="186" t="s">
        <v>1863</v>
      </c>
      <c r="D1577" s="186">
        <v>983.4</v>
      </c>
      <c r="E1577" s="186">
        <v>6.88</v>
      </c>
      <c r="F1577" s="186">
        <v>6.95</v>
      </c>
      <c r="G1577" s="186">
        <v>3.8336792850000001</v>
      </c>
    </row>
    <row r="1578" spans="1:7" ht="14.4">
      <c r="A1578" s="186">
        <v>1577</v>
      </c>
      <c r="B1578" s="186" t="s">
        <v>365</v>
      </c>
      <c r="C1578" s="186" t="s">
        <v>1864</v>
      </c>
      <c r="D1578" s="186">
        <v>8</v>
      </c>
      <c r="E1578" s="186">
        <v>7.19</v>
      </c>
      <c r="F1578" s="186">
        <v>6.95</v>
      </c>
      <c r="G1578" s="186">
        <v>3.8336792850000001</v>
      </c>
    </row>
    <row r="1579" spans="1:7" ht="14.4">
      <c r="A1579" s="186">
        <v>1578</v>
      </c>
      <c r="B1579" s="186" t="s">
        <v>210</v>
      </c>
      <c r="C1579" s="186" t="s">
        <v>1865</v>
      </c>
      <c r="D1579" s="186">
        <v>904.8</v>
      </c>
      <c r="E1579" s="186">
        <v>7.24</v>
      </c>
      <c r="F1579" s="186">
        <v>6.95</v>
      </c>
      <c r="G1579" s="186">
        <v>3.8336792850000001</v>
      </c>
    </row>
    <row r="1580" spans="1:7" ht="14.4">
      <c r="A1580" s="186">
        <v>1579</v>
      </c>
      <c r="B1580" s="186" t="s">
        <v>317</v>
      </c>
      <c r="C1580" s="186" t="s">
        <v>1866</v>
      </c>
      <c r="D1580" s="187">
        <v>1147.8</v>
      </c>
      <c r="E1580" s="186">
        <v>6.95</v>
      </c>
      <c r="F1580" s="186">
        <v>6.95</v>
      </c>
      <c r="G1580" s="186">
        <v>3.8336792850000001</v>
      </c>
    </row>
    <row r="1581" spans="1:7" ht="14.4">
      <c r="A1581" s="186">
        <v>1580</v>
      </c>
      <c r="B1581" s="186" t="s">
        <v>1008</v>
      </c>
      <c r="C1581" s="186" t="s">
        <v>1867</v>
      </c>
      <c r="D1581" s="186">
        <v>93.8</v>
      </c>
      <c r="E1581" s="186">
        <v>7.27</v>
      </c>
      <c r="F1581" s="186">
        <v>6.96</v>
      </c>
      <c r="G1581" s="186">
        <v>3.8408547620000002</v>
      </c>
    </row>
    <row r="1582" spans="1:7" ht="14.4">
      <c r="A1582" s="186">
        <v>1581</v>
      </c>
      <c r="B1582" s="186" t="s">
        <v>178</v>
      </c>
      <c r="C1582" s="186" t="s">
        <v>1868</v>
      </c>
      <c r="D1582" s="186">
        <v>163.5</v>
      </c>
      <c r="E1582" s="186">
        <v>7.1</v>
      </c>
      <c r="F1582" s="186">
        <v>6.96</v>
      </c>
      <c r="G1582" s="186">
        <v>3.8408547620000002</v>
      </c>
    </row>
    <row r="1583" spans="1:7" ht="14.4">
      <c r="A1583" s="186">
        <v>1582</v>
      </c>
      <c r="B1583" s="186" t="s">
        <v>178</v>
      </c>
      <c r="C1583" s="186" t="s">
        <v>1869</v>
      </c>
      <c r="D1583" s="187">
        <v>1105.2</v>
      </c>
      <c r="E1583" s="186">
        <v>7.09</v>
      </c>
      <c r="F1583" s="186">
        <v>6.96</v>
      </c>
      <c r="G1583" s="186">
        <v>3.8408547620000002</v>
      </c>
    </row>
    <row r="1584" spans="1:7" ht="14.4">
      <c r="A1584" s="186">
        <v>1583</v>
      </c>
      <c r="B1584" s="186" t="s">
        <v>194</v>
      </c>
      <c r="C1584" s="186" t="s">
        <v>1870</v>
      </c>
      <c r="D1584" s="186">
        <v>193.5</v>
      </c>
      <c r="E1584" s="186">
        <v>7.04</v>
      </c>
      <c r="F1584" s="186">
        <v>6.96</v>
      </c>
      <c r="G1584" s="186">
        <v>3.8408547620000002</v>
      </c>
    </row>
    <row r="1585" spans="1:7" ht="14.4">
      <c r="A1585" s="186">
        <v>1584</v>
      </c>
      <c r="B1585" s="186" t="s">
        <v>373</v>
      </c>
      <c r="C1585" s="186" t="s">
        <v>1871</v>
      </c>
      <c r="D1585" s="187">
        <v>1121.0999999999999</v>
      </c>
      <c r="E1585" s="186">
        <v>7.17</v>
      </c>
      <c r="F1585" s="186">
        <v>6.96</v>
      </c>
      <c r="G1585" s="186">
        <v>3.8408547620000002</v>
      </c>
    </row>
    <row r="1586" spans="1:7" ht="14.4">
      <c r="A1586" s="186">
        <v>1585</v>
      </c>
      <c r="B1586" s="186" t="s">
        <v>210</v>
      </c>
      <c r="C1586" s="186" t="s">
        <v>1872</v>
      </c>
      <c r="D1586" s="187">
        <v>2896.9</v>
      </c>
      <c r="E1586" s="186">
        <v>7.24</v>
      </c>
      <c r="F1586" s="186">
        <v>6.96</v>
      </c>
      <c r="G1586" s="186">
        <v>3.8408547620000002</v>
      </c>
    </row>
    <row r="1587" spans="1:7" ht="14.4">
      <c r="A1587" s="186">
        <v>1586</v>
      </c>
      <c r="B1587" s="186" t="s">
        <v>118</v>
      </c>
      <c r="C1587" s="186" t="s">
        <v>1873</v>
      </c>
      <c r="D1587" s="186">
        <v>103</v>
      </c>
      <c r="E1587" s="186">
        <v>7.26</v>
      </c>
      <c r="F1587" s="186">
        <v>6.96</v>
      </c>
      <c r="G1587" s="186">
        <v>3.8408547620000002</v>
      </c>
    </row>
    <row r="1588" spans="1:7" ht="14.4">
      <c r="A1588" s="186">
        <v>1587</v>
      </c>
      <c r="B1588" s="186" t="s">
        <v>1874</v>
      </c>
      <c r="C1588" s="186" t="s">
        <v>1875</v>
      </c>
      <c r="D1588" s="186">
        <v>127.9</v>
      </c>
      <c r="E1588" s="186">
        <v>7.19</v>
      </c>
      <c r="F1588" s="186">
        <v>6.96</v>
      </c>
      <c r="G1588" s="186">
        <v>3.8408547620000002</v>
      </c>
    </row>
    <row r="1589" spans="1:7" ht="14.4">
      <c r="A1589" s="186">
        <v>1588</v>
      </c>
      <c r="B1589" s="186" t="s">
        <v>1228</v>
      </c>
      <c r="C1589" s="186" t="s">
        <v>1876</v>
      </c>
      <c r="D1589" s="186">
        <v>102</v>
      </c>
      <c r="E1589" s="186">
        <v>7.21</v>
      </c>
      <c r="F1589" s="186">
        <v>6.97</v>
      </c>
      <c r="G1589" s="186">
        <v>3.8480429969999999</v>
      </c>
    </row>
    <row r="1590" spans="1:7" ht="14.4">
      <c r="A1590" s="186">
        <v>1589</v>
      </c>
      <c r="B1590" s="186" t="s">
        <v>1877</v>
      </c>
      <c r="C1590" s="186" t="s">
        <v>1878</v>
      </c>
      <c r="D1590" s="186">
        <v>461.4</v>
      </c>
      <c r="E1590" s="186">
        <v>7.15</v>
      </c>
      <c r="F1590" s="186">
        <v>6.97</v>
      </c>
      <c r="G1590" s="186">
        <v>3.8480429969999999</v>
      </c>
    </row>
    <row r="1591" spans="1:7" ht="14.4">
      <c r="A1591" s="186">
        <v>1590</v>
      </c>
      <c r="B1591" s="186" t="s">
        <v>422</v>
      </c>
      <c r="C1591" s="186" t="s">
        <v>1879</v>
      </c>
      <c r="D1591" s="186">
        <v>21.8</v>
      </c>
      <c r="E1591" s="186">
        <v>7.15</v>
      </c>
      <c r="F1591" s="186">
        <v>6.97</v>
      </c>
      <c r="G1591" s="186">
        <v>3.8480429969999999</v>
      </c>
    </row>
    <row r="1592" spans="1:7" ht="14.4">
      <c r="A1592" s="186">
        <v>1591</v>
      </c>
      <c r="B1592" s="186" t="s">
        <v>373</v>
      </c>
      <c r="C1592" s="186" t="s">
        <v>1880</v>
      </c>
      <c r="D1592" s="186">
        <v>18</v>
      </c>
      <c r="E1592" s="186">
        <v>7.3</v>
      </c>
      <c r="F1592" s="186">
        <v>6.97</v>
      </c>
      <c r="G1592" s="186">
        <v>3.8480429969999999</v>
      </c>
    </row>
    <row r="1593" spans="1:7" ht="14.4">
      <c r="A1593" s="186">
        <v>1592</v>
      </c>
      <c r="B1593" s="186" t="s">
        <v>288</v>
      </c>
      <c r="C1593" s="186" t="s">
        <v>1881</v>
      </c>
      <c r="D1593" s="186">
        <v>870.4</v>
      </c>
      <c r="E1593" s="186">
        <v>6.94</v>
      </c>
      <c r="F1593" s="186">
        <v>6.97</v>
      </c>
      <c r="G1593" s="186">
        <v>3.8480429969999999</v>
      </c>
    </row>
    <row r="1594" spans="1:7" ht="14.4">
      <c r="A1594" s="186">
        <v>1593</v>
      </c>
      <c r="B1594" s="186" t="s">
        <v>392</v>
      </c>
      <c r="C1594" s="186" t="s">
        <v>1882</v>
      </c>
      <c r="D1594" s="187">
        <v>2257.9</v>
      </c>
      <c r="E1594" s="186">
        <v>7.32</v>
      </c>
      <c r="F1594" s="186">
        <v>6.97</v>
      </c>
      <c r="G1594" s="186">
        <v>3.8480429969999999</v>
      </c>
    </row>
    <row r="1595" spans="1:7" ht="14.4">
      <c r="A1595" s="186">
        <v>1594</v>
      </c>
      <c r="B1595" s="186" t="s">
        <v>1883</v>
      </c>
      <c r="C1595" s="186" t="s">
        <v>1884</v>
      </c>
      <c r="D1595" s="186">
        <v>124.5</v>
      </c>
      <c r="E1595" s="186">
        <v>7.35</v>
      </c>
      <c r="F1595" s="186">
        <v>6.97</v>
      </c>
      <c r="G1595" s="186">
        <v>3.8480429969999999</v>
      </c>
    </row>
    <row r="1596" spans="1:7" ht="14.4">
      <c r="A1596" s="186">
        <v>1595</v>
      </c>
      <c r="B1596" s="186" t="s">
        <v>420</v>
      </c>
      <c r="C1596" s="186" t="s">
        <v>1885</v>
      </c>
      <c r="D1596" s="186">
        <v>750.4</v>
      </c>
      <c r="E1596" s="186">
        <v>6.87</v>
      </c>
      <c r="F1596" s="186">
        <v>6.97</v>
      </c>
      <c r="G1596" s="186">
        <v>3.8480429969999999</v>
      </c>
    </row>
    <row r="1597" spans="1:7" ht="14.4">
      <c r="A1597" s="186">
        <v>1596</v>
      </c>
      <c r="B1597" s="186" t="s">
        <v>1228</v>
      </c>
      <c r="C1597" s="186" t="s">
        <v>1886</v>
      </c>
      <c r="D1597" s="187">
        <v>1958.2</v>
      </c>
      <c r="E1597" s="186">
        <v>7.22</v>
      </c>
      <c r="F1597" s="186">
        <v>6.98</v>
      </c>
      <c r="G1597" s="186">
        <v>3.8552440109999999</v>
      </c>
    </row>
    <row r="1598" spans="1:7" ht="14.4">
      <c r="A1598" s="186">
        <v>1597</v>
      </c>
      <c r="B1598" s="186" t="s">
        <v>1828</v>
      </c>
      <c r="C1598" s="186" t="s">
        <v>1887</v>
      </c>
      <c r="D1598" s="187">
        <v>1242.5</v>
      </c>
      <c r="E1598" s="186">
        <v>6.77</v>
      </c>
      <c r="F1598" s="186">
        <v>6.98</v>
      </c>
      <c r="G1598" s="186">
        <v>3.8552440109999999</v>
      </c>
    </row>
    <row r="1599" spans="1:7" ht="14.4">
      <c r="A1599" s="186">
        <v>1598</v>
      </c>
      <c r="B1599" s="186" t="s">
        <v>454</v>
      </c>
      <c r="C1599" s="186" t="s">
        <v>1888</v>
      </c>
      <c r="D1599" s="186">
        <v>73.599999999999994</v>
      </c>
      <c r="E1599" s="186">
        <v>7.43</v>
      </c>
      <c r="F1599" s="186">
        <v>6.98</v>
      </c>
      <c r="G1599" s="186">
        <v>3.8552440109999999</v>
      </c>
    </row>
    <row r="1600" spans="1:7" ht="14.4">
      <c r="A1600" s="186">
        <v>1599</v>
      </c>
      <c r="B1600" s="186" t="s">
        <v>146</v>
      </c>
      <c r="C1600" s="186" t="s">
        <v>1889</v>
      </c>
      <c r="D1600" s="186">
        <v>88.9</v>
      </c>
      <c r="E1600" s="186">
        <v>7.43</v>
      </c>
      <c r="F1600" s="186">
        <v>6.98</v>
      </c>
      <c r="G1600" s="186">
        <v>3.8552440109999999</v>
      </c>
    </row>
    <row r="1601" spans="1:7" ht="14.4">
      <c r="A1601" s="186">
        <v>1600</v>
      </c>
      <c r="B1601" s="186" t="s">
        <v>415</v>
      </c>
      <c r="C1601" s="186" t="s">
        <v>1890</v>
      </c>
      <c r="D1601" s="186">
        <v>993.6</v>
      </c>
      <c r="E1601" s="186">
        <v>6.91</v>
      </c>
      <c r="F1601" s="186">
        <v>6.98</v>
      </c>
      <c r="G1601" s="186">
        <v>3.8552440109999999</v>
      </c>
    </row>
    <row r="1602" spans="1:7" ht="14.4">
      <c r="A1602" s="186">
        <v>1601</v>
      </c>
      <c r="B1602" s="186" t="s">
        <v>1290</v>
      </c>
      <c r="C1602" s="186" t="s">
        <v>1891</v>
      </c>
      <c r="D1602" s="186">
        <v>45.5</v>
      </c>
      <c r="E1602" s="186">
        <v>7.12</v>
      </c>
      <c r="F1602" s="186">
        <v>6.98</v>
      </c>
      <c r="G1602" s="186">
        <v>3.8552440109999999</v>
      </c>
    </row>
    <row r="1603" spans="1:7" ht="14.4">
      <c r="A1603" s="186">
        <v>1602</v>
      </c>
      <c r="B1603" s="186" t="s">
        <v>241</v>
      </c>
      <c r="C1603" s="186" t="s">
        <v>1892</v>
      </c>
      <c r="D1603" s="186">
        <v>71.5</v>
      </c>
      <c r="E1603" s="186">
        <v>7.36</v>
      </c>
      <c r="F1603" s="186">
        <v>6.99</v>
      </c>
      <c r="G1603" s="186">
        <v>3.862457826</v>
      </c>
    </row>
    <row r="1604" spans="1:7" ht="14.4">
      <c r="A1604" s="186">
        <v>1603</v>
      </c>
      <c r="B1604" s="186" t="s">
        <v>1893</v>
      </c>
      <c r="C1604" s="186" t="s">
        <v>1894</v>
      </c>
      <c r="D1604" s="186">
        <v>559.70000000000005</v>
      </c>
      <c r="E1604" s="186" t="s">
        <v>152</v>
      </c>
      <c r="F1604" s="186">
        <v>6.99</v>
      </c>
      <c r="G1604" s="186">
        <v>3.862457826</v>
      </c>
    </row>
    <row r="1605" spans="1:7" ht="14.4">
      <c r="A1605" s="186">
        <v>1604</v>
      </c>
      <c r="B1605" s="186" t="s">
        <v>1354</v>
      </c>
      <c r="C1605" s="186" t="s">
        <v>1895</v>
      </c>
      <c r="D1605" s="186">
        <v>19.899999999999999</v>
      </c>
      <c r="E1605" s="186">
        <v>7.26</v>
      </c>
      <c r="F1605" s="186">
        <v>6.99</v>
      </c>
      <c r="G1605" s="186">
        <v>3.862457826</v>
      </c>
    </row>
    <row r="1606" spans="1:7" ht="14.4">
      <c r="A1606" s="186">
        <v>1605</v>
      </c>
      <c r="B1606" s="186" t="s">
        <v>178</v>
      </c>
      <c r="C1606" s="186" t="s">
        <v>1896</v>
      </c>
      <c r="D1606" s="186">
        <v>0.1</v>
      </c>
      <c r="E1606" s="186">
        <v>6.87</v>
      </c>
      <c r="F1606" s="186">
        <v>6.99</v>
      </c>
      <c r="G1606" s="186">
        <v>3.862457826</v>
      </c>
    </row>
    <row r="1607" spans="1:7" ht="14.4">
      <c r="A1607" s="186">
        <v>1606</v>
      </c>
      <c r="B1607" s="186" t="s">
        <v>422</v>
      </c>
      <c r="C1607" s="186" t="s">
        <v>1897</v>
      </c>
      <c r="D1607" s="186">
        <v>25</v>
      </c>
      <c r="E1607" s="186">
        <v>6.9</v>
      </c>
      <c r="F1607" s="186">
        <v>6.99</v>
      </c>
      <c r="G1607" s="186">
        <v>3.862457826</v>
      </c>
    </row>
    <row r="1608" spans="1:7" ht="14.4">
      <c r="A1608" s="186">
        <v>1607</v>
      </c>
      <c r="B1608" s="186" t="s">
        <v>126</v>
      </c>
      <c r="C1608" s="186" t="s">
        <v>1898</v>
      </c>
      <c r="D1608" s="187">
        <v>1551.8</v>
      </c>
      <c r="E1608" s="186">
        <v>7.35</v>
      </c>
      <c r="F1608" s="186">
        <v>6.99</v>
      </c>
      <c r="G1608" s="186">
        <v>3.862457826</v>
      </c>
    </row>
    <row r="1609" spans="1:7" ht="14.4">
      <c r="A1609" s="186">
        <v>1608</v>
      </c>
      <c r="B1609" s="186" t="s">
        <v>126</v>
      </c>
      <c r="C1609" s="186" t="s">
        <v>1899</v>
      </c>
      <c r="D1609" s="186">
        <v>52.7</v>
      </c>
      <c r="E1609" s="186">
        <v>7.34</v>
      </c>
      <c r="F1609" s="186">
        <v>6.99</v>
      </c>
      <c r="G1609" s="186">
        <v>3.862457826</v>
      </c>
    </row>
    <row r="1610" spans="1:7" ht="14.4">
      <c r="A1610" s="186">
        <v>1609</v>
      </c>
      <c r="B1610" s="186" t="s">
        <v>1290</v>
      </c>
      <c r="C1610" s="186" t="s">
        <v>1900</v>
      </c>
      <c r="D1610" s="186">
        <v>998.4</v>
      </c>
      <c r="E1610" s="186">
        <v>6.89</v>
      </c>
      <c r="F1610" s="186">
        <v>6.99</v>
      </c>
      <c r="G1610" s="186">
        <v>3.862457826</v>
      </c>
    </row>
    <row r="1611" spans="1:7" ht="14.4">
      <c r="A1611" s="186">
        <v>1610</v>
      </c>
      <c r="B1611" s="186" t="s">
        <v>280</v>
      </c>
      <c r="C1611" s="186" t="s">
        <v>1901</v>
      </c>
      <c r="D1611" s="186">
        <v>252.6</v>
      </c>
      <c r="E1611" s="186">
        <v>6.36</v>
      </c>
      <c r="F1611" s="186">
        <v>6.99</v>
      </c>
      <c r="G1611" s="186">
        <v>3.862457826</v>
      </c>
    </row>
    <row r="1612" spans="1:7" ht="14.4">
      <c r="A1612" s="186">
        <v>1611</v>
      </c>
      <c r="B1612" s="186" t="s">
        <v>178</v>
      </c>
      <c r="C1612" s="186" t="s">
        <v>1902</v>
      </c>
      <c r="D1612" s="186">
        <v>3.9</v>
      </c>
      <c r="E1612" s="186">
        <v>7.13</v>
      </c>
      <c r="F1612" s="186">
        <v>7</v>
      </c>
      <c r="G1612" s="186">
        <v>3.8696844619999999</v>
      </c>
    </row>
    <row r="1613" spans="1:7" ht="14.4">
      <c r="A1613" s="186">
        <v>1612</v>
      </c>
      <c r="B1613" s="186" t="s">
        <v>747</v>
      </c>
      <c r="C1613" s="186" t="s">
        <v>1903</v>
      </c>
      <c r="D1613" s="186">
        <v>316.5</v>
      </c>
      <c r="E1613" s="186">
        <v>7.39</v>
      </c>
      <c r="F1613" s="186">
        <v>7</v>
      </c>
      <c r="G1613" s="186">
        <v>3.8696844619999999</v>
      </c>
    </row>
    <row r="1614" spans="1:7" ht="14.4">
      <c r="A1614" s="186">
        <v>1613</v>
      </c>
      <c r="B1614" s="186" t="s">
        <v>1290</v>
      </c>
      <c r="C1614" s="186" t="s">
        <v>1904</v>
      </c>
      <c r="D1614" s="186">
        <v>13.9</v>
      </c>
      <c r="E1614" s="186">
        <v>7.2</v>
      </c>
      <c r="F1614" s="186">
        <v>7</v>
      </c>
      <c r="G1614" s="186">
        <v>3.8696844619999999</v>
      </c>
    </row>
    <row r="1615" spans="1:7" ht="14.4">
      <c r="A1615" s="186">
        <v>1614</v>
      </c>
      <c r="B1615" s="186" t="s">
        <v>728</v>
      </c>
      <c r="C1615" s="186" t="s">
        <v>1905</v>
      </c>
      <c r="D1615" s="187">
        <v>1369.4</v>
      </c>
      <c r="E1615" s="186">
        <v>6.92</v>
      </c>
      <c r="F1615" s="186">
        <v>7</v>
      </c>
      <c r="G1615" s="186">
        <v>3.8696844619999999</v>
      </c>
    </row>
    <row r="1616" spans="1:7" ht="14.4">
      <c r="A1616" s="186">
        <v>1615</v>
      </c>
      <c r="B1616" s="186" t="s">
        <v>187</v>
      </c>
      <c r="C1616" s="186" t="s">
        <v>1906</v>
      </c>
      <c r="D1616" s="186">
        <v>479.7</v>
      </c>
      <c r="E1616" s="186">
        <v>7.21</v>
      </c>
      <c r="F1616" s="186">
        <v>7</v>
      </c>
      <c r="G1616" s="186">
        <v>3.8696844619999999</v>
      </c>
    </row>
    <row r="1617" spans="1:7" ht="14.4">
      <c r="A1617" s="186">
        <v>1616</v>
      </c>
      <c r="B1617" s="186" t="s">
        <v>187</v>
      </c>
      <c r="C1617" s="186" t="s">
        <v>1907</v>
      </c>
      <c r="D1617" s="187">
        <v>3287.2</v>
      </c>
      <c r="E1617" s="186">
        <v>7.13</v>
      </c>
      <c r="F1617" s="186">
        <v>7</v>
      </c>
      <c r="G1617" s="186">
        <v>3.8696844619999999</v>
      </c>
    </row>
    <row r="1618" spans="1:7" ht="14.4">
      <c r="A1618" s="186">
        <v>1617</v>
      </c>
      <c r="B1618" s="186" t="s">
        <v>317</v>
      </c>
      <c r="C1618" s="186" t="s">
        <v>1908</v>
      </c>
      <c r="D1618" s="187">
        <v>1056.3</v>
      </c>
      <c r="E1618" s="186">
        <v>7.29</v>
      </c>
      <c r="F1618" s="186">
        <v>7</v>
      </c>
      <c r="G1618" s="186">
        <v>3.8696844619999999</v>
      </c>
    </row>
    <row r="1619" spans="1:7" ht="14.4">
      <c r="A1619" s="186">
        <v>1618</v>
      </c>
      <c r="B1619" s="186" t="s">
        <v>1228</v>
      </c>
      <c r="C1619" s="186" t="s">
        <v>1909</v>
      </c>
      <c r="D1619" s="187">
        <v>28064.799999999999</v>
      </c>
      <c r="E1619" s="186">
        <v>6.64</v>
      </c>
      <c r="F1619" s="186">
        <v>7.01</v>
      </c>
      <c r="G1619" s="186">
        <v>3.876923943</v>
      </c>
    </row>
    <row r="1620" spans="1:7" ht="14.4">
      <c r="A1620" s="186">
        <v>1619</v>
      </c>
      <c r="B1620" s="186" t="s">
        <v>712</v>
      </c>
      <c r="C1620" s="186" t="s">
        <v>1910</v>
      </c>
      <c r="D1620" s="187">
        <v>6300.4</v>
      </c>
      <c r="E1620" s="186">
        <v>7.16</v>
      </c>
      <c r="F1620" s="186">
        <v>7.01</v>
      </c>
      <c r="G1620" s="186">
        <v>3.876923943</v>
      </c>
    </row>
    <row r="1621" spans="1:7" ht="14.4">
      <c r="A1621" s="186">
        <v>1620</v>
      </c>
      <c r="B1621" s="186" t="s">
        <v>162</v>
      </c>
      <c r="C1621" s="186" t="s">
        <v>1911</v>
      </c>
      <c r="D1621" s="186">
        <v>159.6</v>
      </c>
      <c r="E1621" s="186">
        <v>7.47</v>
      </c>
      <c r="F1621" s="186">
        <v>7.01</v>
      </c>
      <c r="G1621" s="186">
        <v>3.876923943</v>
      </c>
    </row>
    <row r="1622" spans="1:7" ht="14.4">
      <c r="A1622" s="186">
        <v>1621</v>
      </c>
      <c r="B1622" s="186" t="s">
        <v>126</v>
      </c>
      <c r="C1622" s="186" t="s">
        <v>1912</v>
      </c>
      <c r="D1622" s="187">
        <v>28994.1</v>
      </c>
      <c r="E1622" s="186">
        <v>7.06</v>
      </c>
      <c r="F1622" s="186">
        <v>7.01</v>
      </c>
      <c r="G1622" s="186">
        <v>3.876923943</v>
      </c>
    </row>
    <row r="1623" spans="1:7" ht="14.4">
      <c r="A1623" s="186">
        <v>1622</v>
      </c>
      <c r="B1623" s="186" t="s">
        <v>373</v>
      </c>
      <c r="C1623" s="186" t="s">
        <v>1913</v>
      </c>
      <c r="D1623" s="186">
        <v>32.6</v>
      </c>
      <c r="E1623" s="186">
        <v>7.35</v>
      </c>
      <c r="F1623" s="186">
        <v>7.01</v>
      </c>
      <c r="G1623" s="186">
        <v>3.876923943</v>
      </c>
    </row>
    <row r="1624" spans="1:7" ht="14.4">
      <c r="A1624" s="186">
        <v>1623</v>
      </c>
      <c r="B1624" s="186" t="s">
        <v>210</v>
      </c>
      <c r="C1624" s="186" t="s">
        <v>1914</v>
      </c>
      <c r="D1624" s="186">
        <v>189.6</v>
      </c>
      <c r="E1624" s="186">
        <v>7.22</v>
      </c>
      <c r="F1624" s="186">
        <v>7.01</v>
      </c>
      <c r="G1624" s="186">
        <v>3.876923943</v>
      </c>
    </row>
    <row r="1625" spans="1:7" ht="14.4">
      <c r="A1625" s="186">
        <v>1624</v>
      </c>
      <c r="B1625" s="186" t="s">
        <v>307</v>
      </c>
      <c r="C1625" s="186" t="s">
        <v>1915</v>
      </c>
      <c r="D1625" s="186">
        <v>45.3</v>
      </c>
      <c r="E1625" s="186">
        <v>7.68</v>
      </c>
      <c r="F1625" s="186">
        <v>7.01</v>
      </c>
      <c r="G1625" s="186">
        <v>3.876923943</v>
      </c>
    </row>
    <row r="1626" spans="1:7" ht="14.4">
      <c r="A1626" s="186">
        <v>1625</v>
      </c>
      <c r="B1626" s="186" t="s">
        <v>415</v>
      </c>
      <c r="C1626" s="186" t="s">
        <v>1916</v>
      </c>
      <c r="D1626" s="186">
        <v>805.8</v>
      </c>
      <c r="E1626" s="186">
        <v>7.43</v>
      </c>
      <c r="F1626" s="186">
        <v>7.01</v>
      </c>
      <c r="G1626" s="186">
        <v>3.876923943</v>
      </c>
    </row>
    <row r="1627" spans="1:7" ht="14.4">
      <c r="A1627" s="186">
        <v>1626</v>
      </c>
      <c r="B1627" s="186" t="s">
        <v>1168</v>
      </c>
      <c r="C1627" s="186" t="s">
        <v>1917</v>
      </c>
      <c r="D1627" s="186">
        <v>199.4</v>
      </c>
      <c r="E1627" s="186">
        <v>7.42</v>
      </c>
      <c r="F1627" s="186">
        <v>7.02</v>
      </c>
      <c r="G1627" s="186">
        <v>3.884176289</v>
      </c>
    </row>
    <row r="1628" spans="1:7" ht="14.4">
      <c r="A1628" s="186">
        <v>1627</v>
      </c>
      <c r="B1628" s="186" t="s">
        <v>1228</v>
      </c>
      <c r="C1628" s="186" t="s">
        <v>1918</v>
      </c>
      <c r="D1628" s="186">
        <v>118.5</v>
      </c>
      <c r="E1628" s="186">
        <v>6.96</v>
      </c>
      <c r="F1628" s="186">
        <v>7.02</v>
      </c>
      <c r="G1628" s="186">
        <v>3.884176289</v>
      </c>
    </row>
    <row r="1629" spans="1:7" ht="14.4">
      <c r="A1629" s="186">
        <v>1628</v>
      </c>
      <c r="B1629" s="186" t="s">
        <v>1228</v>
      </c>
      <c r="C1629" s="186" t="s">
        <v>1919</v>
      </c>
      <c r="D1629" s="187">
        <v>5942.8</v>
      </c>
      <c r="E1629" s="186">
        <v>6.96</v>
      </c>
      <c r="F1629" s="186">
        <v>7.02</v>
      </c>
      <c r="G1629" s="186">
        <v>3.884176289</v>
      </c>
    </row>
    <row r="1630" spans="1:7" ht="14.4">
      <c r="A1630" s="186">
        <v>1629</v>
      </c>
      <c r="B1630" s="186" t="s">
        <v>1228</v>
      </c>
      <c r="C1630" s="186" t="s">
        <v>1920</v>
      </c>
      <c r="D1630" s="186">
        <v>0.4</v>
      </c>
      <c r="E1630" s="186">
        <v>6.97</v>
      </c>
      <c r="F1630" s="186">
        <v>7.02</v>
      </c>
      <c r="G1630" s="186">
        <v>3.884176289</v>
      </c>
    </row>
    <row r="1631" spans="1:7" ht="14.4">
      <c r="A1631" s="186">
        <v>1630</v>
      </c>
      <c r="B1631" s="186" t="s">
        <v>263</v>
      </c>
      <c r="C1631" s="186" t="s">
        <v>1921</v>
      </c>
      <c r="D1631" s="186">
        <v>329.1</v>
      </c>
      <c r="E1631" s="186">
        <v>6.8</v>
      </c>
      <c r="F1631" s="186">
        <v>7.02</v>
      </c>
      <c r="G1631" s="186">
        <v>3.884176289</v>
      </c>
    </row>
    <row r="1632" spans="1:7" ht="14.4">
      <c r="A1632" s="186">
        <v>1631</v>
      </c>
      <c r="B1632" s="186" t="s">
        <v>1195</v>
      </c>
      <c r="C1632" s="186" t="s">
        <v>1922</v>
      </c>
      <c r="D1632" s="187">
        <v>1312.9</v>
      </c>
      <c r="E1632" s="186">
        <v>7.28</v>
      </c>
      <c r="F1632" s="186">
        <v>7.02</v>
      </c>
      <c r="G1632" s="186">
        <v>3.884176289</v>
      </c>
    </row>
    <row r="1633" spans="1:7" ht="14.4">
      <c r="A1633" s="186">
        <v>1632</v>
      </c>
      <c r="B1633" s="186" t="s">
        <v>187</v>
      </c>
      <c r="C1633" s="186" t="s">
        <v>1923</v>
      </c>
      <c r="D1633" s="187">
        <v>6933.4</v>
      </c>
      <c r="E1633" s="186">
        <v>6.85</v>
      </c>
      <c r="F1633" s="186">
        <v>7.02</v>
      </c>
      <c r="G1633" s="186">
        <v>3.884176289</v>
      </c>
    </row>
    <row r="1634" spans="1:7" ht="14.4">
      <c r="A1634" s="186">
        <v>1633</v>
      </c>
      <c r="B1634" s="186" t="s">
        <v>1228</v>
      </c>
      <c r="C1634" s="186" t="s">
        <v>1924</v>
      </c>
      <c r="D1634" s="186">
        <v>145.69999999999999</v>
      </c>
      <c r="E1634" s="186">
        <v>6.97</v>
      </c>
      <c r="F1634" s="186">
        <v>7.03</v>
      </c>
      <c r="G1634" s="186">
        <v>3.891441522</v>
      </c>
    </row>
    <row r="1635" spans="1:7" ht="14.4">
      <c r="A1635" s="186">
        <v>1634</v>
      </c>
      <c r="B1635" s="186" t="s">
        <v>1228</v>
      </c>
      <c r="C1635" s="186" t="s">
        <v>1925</v>
      </c>
      <c r="D1635" s="186">
        <v>32.700000000000003</v>
      </c>
      <c r="E1635" s="186">
        <v>7.3</v>
      </c>
      <c r="F1635" s="186">
        <v>7.03</v>
      </c>
      <c r="G1635" s="186">
        <v>3.891441522</v>
      </c>
    </row>
    <row r="1636" spans="1:7" ht="14.4">
      <c r="A1636" s="186">
        <v>1635</v>
      </c>
      <c r="B1636" s="186" t="s">
        <v>175</v>
      </c>
      <c r="C1636" s="186" t="s">
        <v>1926</v>
      </c>
      <c r="D1636" s="186">
        <v>45.6</v>
      </c>
      <c r="E1636" s="186">
        <v>6.89</v>
      </c>
      <c r="F1636" s="186">
        <v>7.03</v>
      </c>
      <c r="G1636" s="186">
        <v>3.891441522</v>
      </c>
    </row>
    <row r="1637" spans="1:7" ht="14.4">
      <c r="A1637" s="186">
        <v>1636</v>
      </c>
      <c r="B1637" s="186" t="s">
        <v>872</v>
      </c>
      <c r="C1637" s="186" t="s">
        <v>1927</v>
      </c>
      <c r="D1637" s="186">
        <v>276.89999999999998</v>
      </c>
      <c r="E1637" s="186">
        <v>7.24</v>
      </c>
      <c r="F1637" s="186">
        <v>7.03</v>
      </c>
      <c r="G1637" s="186">
        <v>3.891441522</v>
      </c>
    </row>
    <row r="1638" spans="1:7" ht="14.4">
      <c r="A1638" s="186">
        <v>1637</v>
      </c>
      <c r="B1638" s="186" t="s">
        <v>1168</v>
      </c>
      <c r="C1638" s="186" t="s">
        <v>1928</v>
      </c>
      <c r="D1638" s="186">
        <v>2.4</v>
      </c>
      <c r="E1638" s="186">
        <v>7.25</v>
      </c>
      <c r="F1638" s="186">
        <v>7.04</v>
      </c>
      <c r="G1638" s="186">
        <v>3.8987196640000001</v>
      </c>
    </row>
    <row r="1639" spans="1:7" ht="14.4">
      <c r="A1639" s="186">
        <v>1638</v>
      </c>
      <c r="B1639" s="186" t="s">
        <v>712</v>
      </c>
      <c r="C1639" s="186" t="s">
        <v>1929</v>
      </c>
      <c r="D1639" s="186">
        <v>0.9</v>
      </c>
      <c r="E1639" s="186">
        <v>7.63</v>
      </c>
      <c r="F1639" s="186">
        <v>7.04</v>
      </c>
      <c r="G1639" s="186">
        <v>3.8987196640000001</v>
      </c>
    </row>
    <row r="1640" spans="1:7" ht="14.4">
      <c r="A1640" s="186">
        <v>1639</v>
      </c>
      <c r="B1640" s="186" t="s">
        <v>422</v>
      </c>
      <c r="C1640" s="186" t="s">
        <v>1930</v>
      </c>
      <c r="D1640" s="186">
        <v>283.7</v>
      </c>
      <c r="E1640" s="186">
        <v>7.25</v>
      </c>
      <c r="F1640" s="186">
        <v>7.04</v>
      </c>
      <c r="G1640" s="186">
        <v>3.8987196640000001</v>
      </c>
    </row>
    <row r="1641" spans="1:7" ht="14.4">
      <c r="A1641" s="186">
        <v>1640</v>
      </c>
      <c r="B1641" s="186" t="s">
        <v>133</v>
      </c>
      <c r="C1641" s="186" t="s">
        <v>1931</v>
      </c>
      <c r="D1641" s="186">
        <v>404.9</v>
      </c>
      <c r="E1641" s="186">
        <v>7.04</v>
      </c>
      <c r="F1641" s="186">
        <v>7.04</v>
      </c>
      <c r="G1641" s="186">
        <v>3.8987196640000001</v>
      </c>
    </row>
    <row r="1642" spans="1:7" ht="14.4">
      <c r="A1642" s="186">
        <v>1641</v>
      </c>
      <c r="B1642" s="186" t="s">
        <v>178</v>
      </c>
      <c r="C1642" s="186" t="s">
        <v>1932</v>
      </c>
      <c r="D1642" s="186">
        <v>230.5</v>
      </c>
      <c r="E1642" s="186">
        <v>7.18</v>
      </c>
      <c r="F1642" s="186">
        <v>7.05</v>
      </c>
      <c r="G1642" s="186">
        <v>3.9060107359999998</v>
      </c>
    </row>
    <row r="1643" spans="1:7" ht="14.4">
      <c r="A1643" s="186">
        <v>1642</v>
      </c>
      <c r="B1643" s="186" t="s">
        <v>303</v>
      </c>
      <c r="C1643" s="186" t="s">
        <v>1933</v>
      </c>
      <c r="D1643" s="186">
        <v>61.2</v>
      </c>
      <c r="E1643" s="186">
        <v>6.6</v>
      </c>
      <c r="F1643" s="186">
        <v>7.05</v>
      </c>
      <c r="G1643" s="186">
        <v>3.9060107359999998</v>
      </c>
    </row>
    <row r="1644" spans="1:7" ht="14.4">
      <c r="A1644" s="186">
        <v>1643</v>
      </c>
      <c r="B1644" s="186" t="s">
        <v>422</v>
      </c>
      <c r="C1644" s="186" t="s">
        <v>1934</v>
      </c>
      <c r="D1644" s="186">
        <v>50.3</v>
      </c>
      <c r="E1644" s="186">
        <v>7.26</v>
      </c>
      <c r="F1644" s="186">
        <v>7.05</v>
      </c>
      <c r="G1644" s="186">
        <v>3.9060107359999998</v>
      </c>
    </row>
    <row r="1645" spans="1:7" ht="14.4">
      <c r="A1645" s="186">
        <v>1644</v>
      </c>
      <c r="B1645" s="186" t="s">
        <v>175</v>
      </c>
      <c r="C1645" s="186" t="s">
        <v>1935</v>
      </c>
      <c r="D1645" s="186">
        <v>502.5</v>
      </c>
      <c r="E1645" s="186">
        <v>7.34</v>
      </c>
      <c r="F1645" s="186">
        <v>7.05</v>
      </c>
      <c r="G1645" s="186">
        <v>3.9060107359999998</v>
      </c>
    </row>
    <row r="1646" spans="1:7" ht="14.4">
      <c r="A1646" s="186">
        <v>1645</v>
      </c>
      <c r="B1646" s="186" t="s">
        <v>1390</v>
      </c>
      <c r="C1646" s="186" t="s">
        <v>1936</v>
      </c>
      <c r="D1646" s="186">
        <v>136</v>
      </c>
      <c r="E1646" s="186">
        <v>7.08</v>
      </c>
      <c r="F1646" s="186">
        <v>7.05</v>
      </c>
      <c r="G1646" s="186">
        <v>3.9060107359999998</v>
      </c>
    </row>
    <row r="1647" spans="1:7" ht="14.4">
      <c r="A1647" s="186">
        <v>1646</v>
      </c>
      <c r="B1647" s="186" t="s">
        <v>373</v>
      </c>
      <c r="C1647" s="186" t="s">
        <v>1937</v>
      </c>
      <c r="D1647" s="186">
        <v>5.9</v>
      </c>
      <c r="E1647" s="186">
        <v>7.35</v>
      </c>
      <c r="F1647" s="186">
        <v>7.05</v>
      </c>
      <c r="G1647" s="186">
        <v>3.9060107359999998</v>
      </c>
    </row>
    <row r="1648" spans="1:7" ht="14.4">
      <c r="A1648" s="186">
        <v>1647</v>
      </c>
      <c r="B1648" s="186" t="s">
        <v>213</v>
      </c>
      <c r="C1648" s="186" t="s">
        <v>1938</v>
      </c>
      <c r="D1648" s="186">
        <v>3.4</v>
      </c>
      <c r="E1648" s="186">
        <v>7.25</v>
      </c>
      <c r="F1648" s="186">
        <v>7.05</v>
      </c>
      <c r="G1648" s="186">
        <v>3.9060107359999998</v>
      </c>
    </row>
    <row r="1649" spans="1:7" ht="14.4">
      <c r="A1649" s="186">
        <v>1648</v>
      </c>
      <c r="B1649" s="186" t="s">
        <v>571</v>
      </c>
      <c r="C1649" s="186" t="s">
        <v>1939</v>
      </c>
      <c r="D1649" s="186">
        <v>15</v>
      </c>
      <c r="E1649" s="186">
        <v>7.44</v>
      </c>
      <c r="F1649" s="186">
        <v>7.06</v>
      </c>
      <c r="G1649" s="186">
        <v>3.91331476</v>
      </c>
    </row>
    <row r="1650" spans="1:7" ht="14.4">
      <c r="A1650" s="186">
        <v>1649</v>
      </c>
      <c r="B1650" s="186" t="s">
        <v>178</v>
      </c>
      <c r="C1650" s="186" t="s">
        <v>1940</v>
      </c>
      <c r="D1650" s="186">
        <v>8.9</v>
      </c>
      <c r="E1650" s="186">
        <v>6.94</v>
      </c>
      <c r="F1650" s="186">
        <v>7.06</v>
      </c>
      <c r="G1650" s="186">
        <v>3.91331476</v>
      </c>
    </row>
    <row r="1651" spans="1:7" ht="14.4">
      <c r="A1651" s="186">
        <v>1650</v>
      </c>
      <c r="B1651" s="186" t="s">
        <v>210</v>
      </c>
      <c r="C1651" s="186" t="s">
        <v>1941</v>
      </c>
      <c r="D1651" s="187">
        <v>3467.3</v>
      </c>
      <c r="E1651" s="186">
        <v>7.39</v>
      </c>
      <c r="F1651" s="186">
        <v>7.06</v>
      </c>
      <c r="G1651" s="186">
        <v>3.91331476</v>
      </c>
    </row>
    <row r="1652" spans="1:7" ht="14.4">
      <c r="A1652" s="186">
        <v>1651</v>
      </c>
      <c r="B1652" s="186" t="s">
        <v>1195</v>
      </c>
      <c r="C1652" s="186" t="s">
        <v>1942</v>
      </c>
      <c r="D1652" s="186">
        <v>347.6</v>
      </c>
      <c r="E1652" s="186">
        <v>7.32</v>
      </c>
      <c r="F1652" s="186">
        <v>7.06</v>
      </c>
      <c r="G1652" s="186">
        <v>3.91331476</v>
      </c>
    </row>
    <row r="1653" spans="1:7" ht="14.4">
      <c r="A1653" s="186">
        <v>1652</v>
      </c>
      <c r="B1653" s="186" t="s">
        <v>1761</v>
      </c>
      <c r="C1653" s="186" t="s">
        <v>1943</v>
      </c>
      <c r="D1653" s="187">
        <v>1159.4000000000001</v>
      </c>
      <c r="E1653" s="186">
        <v>7.33</v>
      </c>
      <c r="F1653" s="186">
        <v>7.06</v>
      </c>
      <c r="G1653" s="186">
        <v>3.91331476</v>
      </c>
    </row>
    <row r="1654" spans="1:7" ht="14.4">
      <c r="A1654" s="186">
        <v>1653</v>
      </c>
      <c r="B1654" s="186" t="s">
        <v>340</v>
      </c>
      <c r="C1654" s="186" t="s">
        <v>1944</v>
      </c>
      <c r="D1654" s="186">
        <v>62.6</v>
      </c>
      <c r="E1654" s="186">
        <v>7.39</v>
      </c>
      <c r="F1654" s="186">
        <v>7.06</v>
      </c>
      <c r="G1654" s="186">
        <v>3.91331476</v>
      </c>
    </row>
    <row r="1655" spans="1:7" ht="14.4">
      <c r="A1655" s="186">
        <v>1654</v>
      </c>
      <c r="B1655" s="186" t="s">
        <v>1228</v>
      </c>
      <c r="C1655" s="186" t="s">
        <v>1945</v>
      </c>
      <c r="D1655" s="186">
        <v>40.9</v>
      </c>
      <c r="E1655" s="186">
        <v>7.27</v>
      </c>
      <c r="F1655" s="186">
        <v>7.07</v>
      </c>
      <c r="G1655" s="186">
        <v>3.9206317579999999</v>
      </c>
    </row>
    <row r="1656" spans="1:7" ht="14.4">
      <c r="A1656" s="186">
        <v>1655</v>
      </c>
      <c r="B1656" s="186" t="s">
        <v>1228</v>
      </c>
      <c r="C1656" s="186" t="s">
        <v>1946</v>
      </c>
      <c r="D1656" s="186">
        <v>645.20000000000005</v>
      </c>
      <c r="E1656" s="186">
        <v>7.26</v>
      </c>
      <c r="F1656" s="186">
        <v>7.07</v>
      </c>
      <c r="G1656" s="186">
        <v>3.9206317579999999</v>
      </c>
    </row>
    <row r="1657" spans="1:7" ht="14.4">
      <c r="A1657" s="186">
        <v>1656</v>
      </c>
      <c r="B1657" s="186" t="s">
        <v>1290</v>
      </c>
      <c r="C1657" s="186" t="s">
        <v>1947</v>
      </c>
      <c r="D1657" s="186">
        <v>19.100000000000001</v>
      </c>
      <c r="E1657" s="186">
        <v>7.27</v>
      </c>
      <c r="F1657" s="186">
        <v>7.07</v>
      </c>
      <c r="G1657" s="186">
        <v>3.9206317579999999</v>
      </c>
    </row>
    <row r="1658" spans="1:7" ht="14.4">
      <c r="A1658" s="186">
        <v>1657</v>
      </c>
      <c r="B1658" s="186" t="s">
        <v>280</v>
      </c>
      <c r="C1658" s="186" t="s">
        <v>1948</v>
      </c>
      <c r="D1658" s="186">
        <v>73.2</v>
      </c>
      <c r="E1658" s="186">
        <v>6.99</v>
      </c>
      <c r="F1658" s="186">
        <v>7.07</v>
      </c>
      <c r="G1658" s="186">
        <v>3.9206317579999999</v>
      </c>
    </row>
    <row r="1659" spans="1:7" ht="14.4">
      <c r="A1659" s="186">
        <v>1658</v>
      </c>
      <c r="B1659" s="186" t="s">
        <v>742</v>
      </c>
      <c r="C1659" s="186" t="s">
        <v>1949</v>
      </c>
      <c r="D1659" s="186">
        <v>365.7</v>
      </c>
      <c r="E1659" s="186">
        <v>7.39</v>
      </c>
      <c r="F1659" s="186">
        <v>7.08</v>
      </c>
      <c r="G1659" s="186">
        <v>3.9279617519999999</v>
      </c>
    </row>
    <row r="1660" spans="1:7" ht="14.4">
      <c r="A1660" s="186">
        <v>1659</v>
      </c>
      <c r="B1660" s="186" t="s">
        <v>138</v>
      </c>
      <c r="C1660" s="186" t="s">
        <v>1950</v>
      </c>
      <c r="D1660" s="186">
        <v>0.4</v>
      </c>
      <c r="E1660" s="186">
        <v>7.45</v>
      </c>
      <c r="F1660" s="186">
        <v>7.08</v>
      </c>
      <c r="G1660" s="186">
        <v>3.9279617519999999</v>
      </c>
    </row>
    <row r="1661" spans="1:7" ht="14.4">
      <c r="A1661" s="186">
        <v>1660</v>
      </c>
      <c r="B1661" s="186" t="s">
        <v>1228</v>
      </c>
      <c r="C1661" s="186" t="s">
        <v>1951</v>
      </c>
      <c r="D1661" s="186">
        <v>14.7</v>
      </c>
      <c r="E1661" s="186">
        <v>7.16</v>
      </c>
      <c r="F1661" s="186">
        <v>7.08</v>
      </c>
      <c r="G1661" s="186">
        <v>3.9279617519999999</v>
      </c>
    </row>
    <row r="1662" spans="1:7" ht="14.4">
      <c r="A1662" s="186">
        <v>1661</v>
      </c>
      <c r="B1662" s="186" t="s">
        <v>938</v>
      </c>
      <c r="C1662" s="186" t="s">
        <v>1952</v>
      </c>
      <c r="D1662" s="186">
        <v>173.6</v>
      </c>
      <c r="E1662" s="186">
        <v>7.19</v>
      </c>
      <c r="F1662" s="186">
        <v>7.08</v>
      </c>
      <c r="G1662" s="186">
        <v>3.9279617519999999</v>
      </c>
    </row>
    <row r="1663" spans="1:7" ht="14.4">
      <c r="A1663" s="186">
        <v>1662</v>
      </c>
      <c r="B1663" s="186" t="s">
        <v>1953</v>
      </c>
      <c r="C1663" s="186" t="s">
        <v>1954</v>
      </c>
      <c r="D1663" s="186">
        <v>330.8</v>
      </c>
      <c r="E1663" s="186">
        <v>7.47</v>
      </c>
      <c r="F1663" s="186">
        <v>7.08</v>
      </c>
      <c r="G1663" s="186">
        <v>3.9279617519999999</v>
      </c>
    </row>
    <row r="1664" spans="1:7" ht="14.4">
      <c r="A1664" s="186">
        <v>1663</v>
      </c>
      <c r="B1664" s="186" t="s">
        <v>340</v>
      </c>
      <c r="C1664" s="186" t="s">
        <v>1955</v>
      </c>
      <c r="D1664" s="186">
        <v>264.89999999999998</v>
      </c>
      <c r="E1664" s="186">
        <v>6.89</v>
      </c>
      <c r="F1664" s="186">
        <v>7.08</v>
      </c>
      <c r="G1664" s="186">
        <v>3.9279617519999999</v>
      </c>
    </row>
    <row r="1665" spans="1:7" ht="14.4">
      <c r="A1665" s="186">
        <v>1664</v>
      </c>
      <c r="B1665" s="186" t="s">
        <v>1956</v>
      </c>
      <c r="C1665" s="186" t="s">
        <v>1957</v>
      </c>
      <c r="D1665" s="186">
        <v>342.7</v>
      </c>
      <c r="E1665" s="186">
        <v>7.26</v>
      </c>
      <c r="F1665" s="186">
        <v>7.08</v>
      </c>
      <c r="G1665" s="186">
        <v>3.9279617519999999</v>
      </c>
    </row>
    <row r="1666" spans="1:7" ht="14.4">
      <c r="A1666" s="186">
        <v>1665</v>
      </c>
      <c r="B1666" s="186" t="s">
        <v>1724</v>
      </c>
      <c r="C1666" s="186" t="s">
        <v>1958</v>
      </c>
      <c r="D1666" s="186">
        <v>57.2</v>
      </c>
      <c r="E1666" s="186">
        <v>6.97</v>
      </c>
      <c r="F1666" s="186">
        <v>7.09</v>
      </c>
      <c r="G1666" s="186">
        <v>3.9353047640000001</v>
      </c>
    </row>
    <row r="1667" spans="1:7" ht="14.4">
      <c r="A1667" s="186">
        <v>1666</v>
      </c>
      <c r="B1667" s="186" t="s">
        <v>365</v>
      </c>
      <c r="C1667" s="186" t="s">
        <v>1959</v>
      </c>
      <c r="D1667" s="186">
        <v>26.6</v>
      </c>
      <c r="E1667" s="186">
        <v>7.32</v>
      </c>
      <c r="F1667" s="186">
        <v>7.09</v>
      </c>
      <c r="G1667" s="186">
        <v>3.9353047640000001</v>
      </c>
    </row>
    <row r="1668" spans="1:7" ht="14.4">
      <c r="A1668" s="186">
        <v>1667</v>
      </c>
      <c r="B1668" s="186" t="s">
        <v>553</v>
      </c>
      <c r="C1668" s="186" t="s">
        <v>1960</v>
      </c>
      <c r="D1668" s="186">
        <v>23.4</v>
      </c>
      <c r="E1668" s="186">
        <v>7.65</v>
      </c>
      <c r="F1668" s="186">
        <v>7.09</v>
      </c>
      <c r="G1668" s="186">
        <v>3.9353047640000001</v>
      </c>
    </row>
    <row r="1669" spans="1:7" ht="14.4">
      <c r="A1669" s="186">
        <v>1668</v>
      </c>
      <c r="B1669" s="186" t="s">
        <v>373</v>
      </c>
      <c r="C1669" s="186" t="s">
        <v>1961</v>
      </c>
      <c r="D1669" s="186">
        <v>351.5</v>
      </c>
      <c r="E1669" s="186">
        <v>7.09</v>
      </c>
      <c r="F1669" s="186">
        <v>7.09</v>
      </c>
      <c r="G1669" s="186">
        <v>3.9353047640000001</v>
      </c>
    </row>
    <row r="1670" spans="1:7" ht="14.4">
      <c r="A1670" s="186">
        <v>1669</v>
      </c>
      <c r="B1670" s="186" t="s">
        <v>373</v>
      </c>
      <c r="C1670" s="186" t="s">
        <v>1962</v>
      </c>
      <c r="D1670" s="186">
        <v>0.1</v>
      </c>
      <c r="E1670" s="186">
        <v>7.36</v>
      </c>
      <c r="F1670" s="186">
        <v>7.09</v>
      </c>
      <c r="G1670" s="186">
        <v>3.9353047640000001</v>
      </c>
    </row>
    <row r="1671" spans="1:7" ht="14.4">
      <c r="A1671" s="186">
        <v>1670</v>
      </c>
      <c r="B1671" s="186" t="s">
        <v>395</v>
      </c>
      <c r="C1671" s="186" t="s">
        <v>1963</v>
      </c>
      <c r="D1671" s="186">
        <v>41.1</v>
      </c>
      <c r="E1671" s="186">
        <v>6.81</v>
      </c>
      <c r="F1671" s="186">
        <v>7.09</v>
      </c>
      <c r="G1671" s="186">
        <v>3.9353047640000001</v>
      </c>
    </row>
    <row r="1672" spans="1:7" ht="14.4">
      <c r="A1672" s="186">
        <v>1671</v>
      </c>
      <c r="B1672" s="186" t="s">
        <v>477</v>
      </c>
      <c r="C1672" s="186" t="s">
        <v>1964</v>
      </c>
      <c r="D1672" s="186">
        <v>6.3</v>
      </c>
      <c r="E1672" s="186">
        <v>7.34</v>
      </c>
      <c r="F1672" s="186">
        <v>7.09</v>
      </c>
      <c r="G1672" s="186">
        <v>3.9353047640000001</v>
      </c>
    </row>
    <row r="1673" spans="1:7" ht="14.4">
      <c r="A1673" s="186">
        <v>1672</v>
      </c>
      <c r="B1673" s="186" t="s">
        <v>801</v>
      </c>
      <c r="C1673" s="186" t="s">
        <v>1965</v>
      </c>
      <c r="D1673" s="186">
        <v>265.8</v>
      </c>
      <c r="E1673" s="186">
        <v>7.03</v>
      </c>
      <c r="F1673" s="186">
        <v>7.09</v>
      </c>
      <c r="G1673" s="186">
        <v>3.9353047640000001</v>
      </c>
    </row>
    <row r="1674" spans="1:7" ht="14.4">
      <c r="A1674" s="186">
        <v>1673</v>
      </c>
      <c r="B1674" s="186" t="s">
        <v>178</v>
      </c>
      <c r="C1674" s="186" t="s">
        <v>1966</v>
      </c>
      <c r="D1674" s="186">
        <v>154.9</v>
      </c>
      <c r="E1674" s="186">
        <v>7.02</v>
      </c>
      <c r="F1674" s="186">
        <v>7.1</v>
      </c>
      <c r="G1674" s="186">
        <v>3.9426608160000001</v>
      </c>
    </row>
    <row r="1675" spans="1:7" ht="14.4">
      <c r="A1675" s="186">
        <v>1674</v>
      </c>
      <c r="B1675" s="186" t="s">
        <v>373</v>
      </c>
      <c r="C1675" s="186" t="s">
        <v>1967</v>
      </c>
      <c r="D1675" s="186">
        <v>270.39999999999998</v>
      </c>
      <c r="E1675" s="186">
        <v>7.32</v>
      </c>
      <c r="F1675" s="186">
        <v>7.1</v>
      </c>
      <c r="G1675" s="186">
        <v>3.9426608160000001</v>
      </c>
    </row>
    <row r="1676" spans="1:7" ht="14.4">
      <c r="A1676" s="186">
        <v>1675</v>
      </c>
      <c r="B1676" s="186" t="s">
        <v>488</v>
      </c>
      <c r="C1676" s="186" t="s">
        <v>1968</v>
      </c>
      <c r="D1676" s="186">
        <v>241.2</v>
      </c>
      <c r="E1676" s="186">
        <v>7.47</v>
      </c>
      <c r="F1676" s="186">
        <v>7.1</v>
      </c>
      <c r="G1676" s="186">
        <v>3.9426608160000001</v>
      </c>
    </row>
    <row r="1677" spans="1:7" ht="14.4">
      <c r="A1677" s="186">
        <v>1676</v>
      </c>
      <c r="B1677" s="186" t="s">
        <v>335</v>
      </c>
      <c r="C1677" s="186" t="s">
        <v>1969</v>
      </c>
      <c r="D1677" s="186">
        <v>6.1</v>
      </c>
      <c r="E1677" s="186">
        <v>7.21</v>
      </c>
      <c r="F1677" s="186">
        <v>7.1</v>
      </c>
      <c r="G1677" s="186">
        <v>3.9426608160000001</v>
      </c>
    </row>
    <row r="1678" spans="1:7" ht="14.4">
      <c r="A1678" s="186">
        <v>1677</v>
      </c>
      <c r="B1678" s="186" t="s">
        <v>187</v>
      </c>
      <c r="C1678" s="186" t="s">
        <v>1970</v>
      </c>
      <c r="D1678" s="187">
        <v>5816.7</v>
      </c>
      <c r="E1678" s="186">
        <v>7.32</v>
      </c>
      <c r="F1678" s="186">
        <v>7.1</v>
      </c>
      <c r="G1678" s="186">
        <v>3.9426608160000001</v>
      </c>
    </row>
    <row r="1679" spans="1:7" ht="14.4">
      <c r="A1679" s="186">
        <v>1678</v>
      </c>
      <c r="B1679" s="186" t="s">
        <v>742</v>
      </c>
      <c r="C1679" s="186" t="s">
        <v>1971</v>
      </c>
      <c r="D1679" s="187">
        <v>4882.5</v>
      </c>
      <c r="E1679" s="186">
        <v>7.43</v>
      </c>
      <c r="F1679" s="186">
        <v>7.11</v>
      </c>
      <c r="G1679" s="186">
        <v>3.9500299289999998</v>
      </c>
    </row>
    <row r="1680" spans="1:7" ht="14.4">
      <c r="A1680" s="186">
        <v>1679</v>
      </c>
      <c r="B1680" s="186" t="s">
        <v>126</v>
      </c>
      <c r="C1680" s="186" t="s">
        <v>1972</v>
      </c>
      <c r="D1680" s="186">
        <v>470.4</v>
      </c>
      <c r="E1680" s="186">
        <v>7.47</v>
      </c>
      <c r="F1680" s="186">
        <v>7.11</v>
      </c>
      <c r="G1680" s="186">
        <v>3.9500299289999998</v>
      </c>
    </row>
    <row r="1681" spans="1:7" ht="14.4">
      <c r="A1681" s="186">
        <v>1680</v>
      </c>
      <c r="B1681" s="186" t="s">
        <v>307</v>
      </c>
      <c r="C1681" s="186" t="s">
        <v>1973</v>
      </c>
      <c r="D1681" s="186">
        <v>172.9</v>
      </c>
      <c r="E1681" s="186">
        <v>7.41</v>
      </c>
      <c r="F1681" s="186">
        <v>7.11</v>
      </c>
      <c r="G1681" s="186">
        <v>3.9500299289999998</v>
      </c>
    </row>
    <row r="1682" spans="1:7" ht="14.4">
      <c r="A1682" s="186">
        <v>1681</v>
      </c>
      <c r="B1682" s="186" t="s">
        <v>162</v>
      </c>
      <c r="C1682" s="186" t="s">
        <v>1974</v>
      </c>
      <c r="D1682" s="186">
        <v>2.4</v>
      </c>
      <c r="E1682" s="186">
        <v>7.55</v>
      </c>
      <c r="F1682" s="186">
        <v>7.12</v>
      </c>
      <c r="G1682" s="186">
        <v>3.9574121249999998</v>
      </c>
    </row>
    <row r="1683" spans="1:7" ht="14.4">
      <c r="A1683" s="186">
        <v>1682</v>
      </c>
      <c r="B1683" s="186" t="s">
        <v>422</v>
      </c>
      <c r="C1683" s="186" t="s">
        <v>1975</v>
      </c>
      <c r="D1683" s="186">
        <v>1.5</v>
      </c>
      <c r="E1683" s="186">
        <v>7.09</v>
      </c>
      <c r="F1683" s="186">
        <v>7.12</v>
      </c>
      <c r="G1683" s="186">
        <v>3.9574121249999998</v>
      </c>
    </row>
    <row r="1684" spans="1:7" ht="14.4">
      <c r="A1684" s="186">
        <v>1683</v>
      </c>
      <c r="B1684" s="186" t="s">
        <v>422</v>
      </c>
      <c r="C1684" s="186" t="s">
        <v>1976</v>
      </c>
      <c r="D1684" s="186">
        <v>15.4</v>
      </c>
      <c r="E1684" s="186">
        <v>7.09</v>
      </c>
      <c r="F1684" s="186">
        <v>7.12</v>
      </c>
      <c r="G1684" s="186">
        <v>3.9574121249999998</v>
      </c>
    </row>
    <row r="1685" spans="1:7" ht="14.4">
      <c r="A1685" s="186">
        <v>1684</v>
      </c>
      <c r="B1685" s="186" t="s">
        <v>422</v>
      </c>
      <c r="C1685" s="186" t="s">
        <v>1977</v>
      </c>
      <c r="D1685" s="186">
        <v>379.5</v>
      </c>
      <c r="E1685" s="186">
        <v>7.34</v>
      </c>
      <c r="F1685" s="186">
        <v>7.12</v>
      </c>
      <c r="G1685" s="186">
        <v>3.9574121249999998</v>
      </c>
    </row>
    <row r="1686" spans="1:7" ht="14.4">
      <c r="A1686" s="186">
        <v>1685</v>
      </c>
      <c r="B1686" s="186" t="s">
        <v>175</v>
      </c>
      <c r="C1686" s="186" t="s">
        <v>1978</v>
      </c>
      <c r="D1686" s="186">
        <v>11.2</v>
      </c>
      <c r="E1686" s="186">
        <v>6.97</v>
      </c>
      <c r="F1686" s="186">
        <v>7.12</v>
      </c>
      <c r="G1686" s="186">
        <v>3.9574121249999998</v>
      </c>
    </row>
    <row r="1687" spans="1:7" ht="14.4">
      <c r="A1687" s="186">
        <v>1686</v>
      </c>
      <c r="B1687" s="186" t="s">
        <v>365</v>
      </c>
      <c r="C1687" s="186" t="s">
        <v>1979</v>
      </c>
      <c r="D1687" s="186">
        <v>0.5</v>
      </c>
      <c r="E1687" s="186">
        <v>7.35</v>
      </c>
      <c r="F1687" s="186">
        <v>7.12</v>
      </c>
      <c r="G1687" s="186">
        <v>3.9574121249999998</v>
      </c>
    </row>
    <row r="1688" spans="1:7" ht="14.4">
      <c r="A1688" s="186">
        <v>1687</v>
      </c>
      <c r="B1688" s="186" t="s">
        <v>1980</v>
      </c>
      <c r="C1688" s="186" t="s">
        <v>1981</v>
      </c>
      <c r="D1688" s="186">
        <v>39.5</v>
      </c>
      <c r="E1688" s="186">
        <v>7.19</v>
      </c>
      <c r="F1688" s="186">
        <v>7.12</v>
      </c>
      <c r="G1688" s="186">
        <v>3.9574121249999998</v>
      </c>
    </row>
    <row r="1689" spans="1:7" ht="14.4">
      <c r="A1689" s="186">
        <v>1688</v>
      </c>
      <c r="B1689" s="186" t="s">
        <v>288</v>
      </c>
      <c r="C1689" s="186" t="s">
        <v>1982</v>
      </c>
      <c r="D1689" s="187">
        <v>1627</v>
      </c>
      <c r="E1689" s="186">
        <v>7.4</v>
      </c>
      <c r="F1689" s="186">
        <v>7.12</v>
      </c>
      <c r="G1689" s="186">
        <v>3.9574121249999998</v>
      </c>
    </row>
    <row r="1690" spans="1:7" ht="14.4">
      <c r="A1690" s="186">
        <v>1689</v>
      </c>
      <c r="B1690" s="186" t="s">
        <v>1290</v>
      </c>
      <c r="C1690" s="186" t="s">
        <v>1983</v>
      </c>
      <c r="D1690" s="186">
        <v>482.8</v>
      </c>
      <c r="E1690" s="186">
        <v>7.26</v>
      </c>
      <c r="F1690" s="186">
        <v>7.12</v>
      </c>
      <c r="G1690" s="186">
        <v>3.9574121249999998</v>
      </c>
    </row>
    <row r="1691" spans="1:7" ht="14.4">
      <c r="A1691" s="186">
        <v>1690</v>
      </c>
      <c r="B1691" s="186" t="s">
        <v>1228</v>
      </c>
      <c r="C1691" s="186" t="s">
        <v>1984</v>
      </c>
      <c r="D1691" s="187">
        <v>22949.200000000001</v>
      </c>
      <c r="E1691" s="186">
        <v>7.07</v>
      </c>
      <c r="F1691" s="186">
        <v>7.13</v>
      </c>
      <c r="G1691" s="186">
        <v>3.9648074270000002</v>
      </c>
    </row>
    <row r="1692" spans="1:7" ht="14.4">
      <c r="A1692" s="186">
        <v>1691</v>
      </c>
      <c r="B1692" s="186" t="s">
        <v>178</v>
      </c>
      <c r="C1692" s="186" t="s">
        <v>1985</v>
      </c>
      <c r="D1692" s="186">
        <v>0.1</v>
      </c>
      <c r="E1692" s="186">
        <v>7.37</v>
      </c>
      <c r="F1692" s="186">
        <v>7.13</v>
      </c>
      <c r="G1692" s="186">
        <v>3.9648074270000002</v>
      </c>
    </row>
    <row r="1693" spans="1:7" ht="14.4">
      <c r="A1693" s="186">
        <v>1692</v>
      </c>
      <c r="B1693" s="186" t="s">
        <v>263</v>
      </c>
      <c r="C1693" s="186" t="s">
        <v>1986</v>
      </c>
      <c r="D1693" s="187">
        <v>4631.1000000000004</v>
      </c>
      <c r="E1693" s="186">
        <v>7.03</v>
      </c>
      <c r="F1693" s="186">
        <v>7.13</v>
      </c>
      <c r="G1693" s="186">
        <v>3.9648074270000002</v>
      </c>
    </row>
    <row r="1694" spans="1:7" ht="14.4">
      <c r="A1694" s="186">
        <v>1693</v>
      </c>
      <c r="B1694" s="186" t="s">
        <v>263</v>
      </c>
      <c r="C1694" s="186" t="s">
        <v>1987</v>
      </c>
      <c r="D1694" s="186">
        <v>2.5</v>
      </c>
      <c r="E1694" s="186">
        <v>7.22</v>
      </c>
      <c r="F1694" s="186">
        <v>7.13</v>
      </c>
      <c r="G1694" s="186">
        <v>3.9648074270000002</v>
      </c>
    </row>
    <row r="1695" spans="1:7" ht="14.4">
      <c r="A1695" s="186">
        <v>1694</v>
      </c>
      <c r="B1695" s="186" t="s">
        <v>335</v>
      </c>
      <c r="C1695" s="186" t="s">
        <v>1988</v>
      </c>
      <c r="D1695" s="186">
        <v>220.7</v>
      </c>
      <c r="E1695" s="186">
        <v>7.24</v>
      </c>
      <c r="F1695" s="186">
        <v>7.13</v>
      </c>
      <c r="G1695" s="186">
        <v>3.9648074270000002</v>
      </c>
    </row>
    <row r="1696" spans="1:7" ht="14.4">
      <c r="A1696" s="186">
        <v>1695</v>
      </c>
      <c r="B1696" s="186" t="s">
        <v>184</v>
      </c>
      <c r="C1696" s="186" t="s">
        <v>1989</v>
      </c>
      <c r="D1696" s="187">
        <v>116115.6</v>
      </c>
      <c r="E1696" s="186">
        <v>7.43</v>
      </c>
      <c r="F1696" s="186">
        <v>7.13</v>
      </c>
      <c r="G1696" s="186">
        <v>3.9648074270000002</v>
      </c>
    </row>
    <row r="1697" spans="1:7" ht="14.4">
      <c r="A1697" s="186">
        <v>1696</v>
      </c>
      <c r="B1697" s="186" t="s">
        <v>271</v>
      </c>
      <c r="C1697" s="186" t="s">
        <v>1990</v>
      </c>
      <c r="D1697" s="186">
        <v>62.7</v>
      </c>
      <c r="E1697" s="186">
        <v>6.99</v>
      </c>
      <c r="F1697" s="186">
        <v>7.14</v>
      </c>
      <c r="G1697" s="186">
        <v>3.9722158570000001</v>
      </c>
    </row>
    <row r="1698" spans="1:7" ht="14.4">
      <c r="A1698" s="186">
        <v>1697</v>
      </c>
      <c r="B1698" s="186" t="s">
        <v>178</v>
      </c>
      <c r="C1698" s="186" t="s">
        <v>1991</v>
      </c>
      <c r="D1698" s="186">
        <v>34.799999999999997</v>
      </c>
      <c r="E1698" s="186">
        <v>7.36</v>
      </c>
      <c r="F1698" s="186">
        <v>7.14</v>
      </c>
      <c r="G1698" s="186">
        <v>3.9722158570000001</v>
      </c>
    </row>
    <row r="1699" spans="1:7" ht="14.4">
      <c r="A1699" s="186">
        <v>1698</v>
      </c>
      <c r="B1699" s="186" t="s">
        <v>712</v>
      </c>
      <c r="C1699" s="186" t="s">
        <v>1992</v>
      </c>
      <c r="D1699" s="186">
        <v>893.7</v>
      </c>
      <c r="E1699" s="186">
        <v>7.58</v>
      </c>
      <c r="F1699" s="186">
        <v>7.14</v>
      </c>
      <c r="G1699" s="186">
        <v>3.9722158570000001</v>
      </c>
    </row>
    <row r="1700" spans="1:7" ht="14.4">
      <c r="A1700" s="186">
        <v>1699</v>
      </c>
      <c r="B1700" s="186" t="s">
        <v>373</v>
      </c>
      <c r="C1700" s="186" t="s">
        <v>1993</v>
      </c>
      <c r="D1700" s="186">
        <v>588.29999999999995</v>
      </c>
      <c r="E1700" s="186">
        <v>7.16</v>
      </c>
      <c r="F1700" s="186">
        <v>7.14</v>
      </c>
      <c r="G1700" s="186">
        <v>3.9722158570000001</v>
      </c>
    </row>
    <row r="1701" spans="1:7" ht="14.4">
      <c r="A1701" s="186">
        <v>1700</v>
      </c>
      <c r="B1701" s="186" t="s">
        <v>373</v>
      </c>
      <c r="C1701" s="186" t="s">
        <v>1994</v>
      </c>
      <c r="D1701" s="187">
        <v>1375.7</v>
      </c>
      <c r="E1701" s="186">
        <v>7.35</v>
      </c>
      <c r="F1701" s="186">
        <v>7.14</v>
      </c>
      <c r="G1701" s="186">
        <v>3.9722158570000001</v>
      </c>
    </row>
    <row r="1702" spans="1:7" ht="14.4">
      <c r="A1702" s="186">
        <v>1701</v>
      </c>
      <c r="B1702" s="186" t="s">
        <v>1215</v>
      </c>
      <c r="C1702" s="186" t="s">
        <v>1995</v>
      </c>
      <c r="D1702" s="186">
        <v>20.7</v>
      </c>
      <c r="E1702" s="186">
        <v>7.43</v>
      </c>
      <c r="F1702" s="186">
        <v>7.14</v>
      </c>
      <c r="G1702" s="186">
        <v>3.9722158570000001</v>
      </c>
    </row>
    <row r="1703" spans="1:7" ht="14.4">
      <c r="A1703" s="186">
        <v>1702</v>
      </c>
      <c r="B1703" s="186" t="s">
        <v>178</v>
      </c>
      <c r="C1703" s="186" t="s">
        <v>1996</v>
      </c>
      <c r="D1703" s="186">
        <v>1.4</v>
      </c>
      <c r="E1703" s="186">
        <v>7.26</v>
      </c>
      <c r="F1703" s="186">
        <v>7.15</v>
      </c>
      <c r="G1703" s="186">
        <v>3.979637436</v>
      </c>
    </row>
    <row r="1704" spans="1:7" ht="14.4">
      <c r="A1704" s="186">
        <v>1703</v>
      </c>
      <c r="B1704" s="186" t="s">
        <v>178</v>
      </c>
      <c r="C1704" s="186" t="s">
        <v>1997</v>
      </c>
      <c r="D1704" s="186">
        <v>0.3</v>
      </c>
      <c r="E1704" s="186">
        <v>7.44</v>
      </c>
      <c r="F1704" s="186">
        <v>7.15</v>
      </c>
      <c r="G1704" s="186">
        <v>3.979637436</v>
      </c>
    </row>
    <row r="1705" spans="1:7" ht="14.4">
      <c r="A1705" s="186">
        <v>1704</v>
      </c>
      <c r="B1705" s="186" t="s">
        <v>178</v>
      </c>
      <c r="C1705" s="186" t="s">
        <v>1998</v>
      </c>
      <c r="D1705" s="186">
        <v>0.1</v>
      </c>
      <c r="E1705" s="186">
        <v>7.35</v>
      </c>
      <c r="F1705" s="186">
        <v>7.15</v>
      </c>
      <c r="G1705" s="186">
        <v>3.979637436</v>
      </c>
    </row>
    <row r="1706" spans="1:7" ht="14.4">
      <c r="A1706" s="186">
        <v>1705</v>
      </c>
      <c r="B1706" s="186" t="s">
        <v>153</v>
      </c>
      <c r="C1706" s="186" t="s">
        <v>1999</v>
      </c>
      <c r="D1706" s="187">
        <v>5922.3</v>
      </c>
      <c r="E1706" s="186">
        <v>7.51</v>
      </c>
      <c r="F1706" s="186">
        <v>7.15</v>
      </c>
      <c r="G1706" s="186">
        <v>3.979637436</v>
      </c>
    </row>
    <row r="1707" spans="1:7" ht="14.4">
      <c r="A1707" s="186">
        <v>1706</v>
      </c>
      <c r="B1707" s="186" t="s">
        <v>263</v>
      </c>
      <c r="C1707" s="186" t="s">
        <v>2000</v>
      </c>
      <c r="D1707" s="187">
        <v>2345.1999999999998</v>
      </c>
      <c r="E1707" s="186">
        <v>7.06</v>
      </c>
      <c r="F1707" s="186">
        <v>7.15</v>
      </c>
      <c r="G1707" s="186">
        <v>3.979637436</v>
      </c>
    </row>
    <row r="1708" spans="1:7" ht="14.4">
      <c r="A1708" s="186">
        <v>1707</v>
      </c>
      <c r="B1708" s="186" t="s">
        <v>834</v>
      </c>
      <c r="C1708" s="186" t="s">
        <v>2001</v>
      </c>
      <c r="D1708" s="186">
        <v>51.6</v>
      </c>
      <c r="E1708" s="186">
        <v>6.86</v>
      </c>
      <c r="F1708" s="186">
        <v>7.15</v>
      </c>
      <c r="G1708" s="186">
        <v>3.979637436</v>
      </c>
    </row>
    <row r="1709" spans="1:7" ht="14.4">
      <c r="A1709" s="186">
        <v>1708</v>
      </c>
      <c r="B1709" s="186" t="s">
        <v>280</v>
      </c>
      <c r="C1709" s="186" t="s">
        <v>2002</v>
      </c>
      <c r="D1709" s="186">
        <v>255.9</v>
      </c>
      <c r="E1709" s="186">
        <v>6.77</v>
      </c>
      <c r="F1709" s="186">
        <v>7.15</v>
      </c>
      <c r="G1709" s="186">
        <v>3.979637436</v>
      </c>
    </row>
    <row r="1710" spans="1:7" ht="14.4">
      <c r="A1710" s="186">
        <v>1709</v>
      </c>
      <c r="B1710" s="186" t="s">
        <v>1228</v>
      </c>
      <c r="C1710" s="186" t="s">
        <v>2003</v>
      </c>
      <c r="D1710" s="187">
        <v>59295.199999999997</v>
      </c>
      <c r="E1710" s="186">
        <v>7.1</v>
      </c>
      <c r="F1710" s="186">
        <v>7.16</v>
      </c>
      <c r="G1710" s="186">
        <v>3.9870721869999999</v>
      </c>
    </row>
    <row r="1711" spans="1:7" ht="14.4">
      <c r="A1711" s="186">
        <v>1710</v>
      </c>
      <c r="B1711" s="186" t="s">
        <v>178</v>
      </c>
      <c r="C1711" s="186" t="s">
        <v>2004</v>
      </c>
      <c r="D1711" s="187">
        <v>1962.4</v>
      </c>
      <c r="E1711" s="186">
        <v>7.09</v>
      </c>
      <c r="F1711" s="186">
        <v>7.16</v>
      </c>
      <c r="G1711" s="186">
        <v>3.9870721869999999</v>
      </c>
    </row>
    <row r="1712" spans="1:7" ht="14.4">
      <c r="A1712" s="186">
        <v>1711</v>
      </c>
      <c r="B1712" s="186" t="s">
        <v>178</v>
      </c>
      <c r="C1712" s="186" t="s">
        <v>2005</v>
      </c>
      <c r="D1712" s="186">
        <v>7.3</v>
      </c>
      <c r="E1712" s="186">
        <v>7.4</v>
      </c>
      <c r="F1712" s="186">
        <v>7.16</v>
      </c>
      <c r="G1712" s="186">
        <v>3.9870721869999999</v>
      </c>
    </row>
    <row r="1713" spans="1:7" ht="14.4">
      <c r="A1713" s="186">
        <v>1712</v>
      </c>
      <c r="B1713" s="186" t="s">
        <v>178</v>
      </c>
      <c r="C1713" s="186" t="s">
        <v>2006</v>
      </c>
      <c r="D1713" s="186">
        <v>17.100000000000001</v>
      </c>
      <c r="E1713" s="186">
        <v>7.4</v>
      </c>
      <c r="F1713" s="186">
        <v>7.16</v>
      </c>
      <c r="G1713" s="186">
        <v>3.9870721869999999</v>
      </c>
    </row>
    <row r="1714" spans="1:7" ht="14.4">
      <c r="A1714" s="186">
        <v>1713</v>
      </c>
      <c r="B1714" s="186" t="s">
        <v>178</v>
      </c>
      <c r="C1714" s="186" t="s">
        <v>2007</v>
      </c>
      <c r="D1714" s="186">
        <v>92.5</v>
      </c>
      <c r="E1714" s="186">
        <v>7.4</v>
      </c>
      <c r="F1714" s="186">
        <v>7.16</v>
      </c>
      <c r="G1714" s="186">
        <v>3.9870721869999999</v>
      </c>
    </row>
    <row r="1715" spans="1:7" ht="14.4">
      <c r="A1715" s="186">
        <v>1714</v>
      </c>
      <c r="B1715" s="186" t="s">
        <v>178</v>
      </c>
      <c r="C1715" s="186" t="s">
        <v>2008</v>
      </c>
      <c r="D1715" s="186">
        <v>213.4</v>
      </c>
      <c r="E1715" s="186">
        <v>7.26</v>
      </c>
      <c r="F1715" s="186">
        <v>7.16</v>
      </c>
      <c r="G1715" s="186">
        <v>3.9870721869999999</v>
      </c>
    </row>
    <row r="1716" spans="1:7" ht="14.4">
      <c r="A1716" s="186">
        <v>1715</v>
      </c>
      <c r="B1716" s="186" t="s">
        <v>175</v>
      </c>
      <c r="C1716" s="186" t="s">
        <v>2009</v>
      </c>
      <c r="D1716" s="186">
        <v>46.6</v>
      </c>
      <c r="E1716" s="186">
        <v>6.88</v>
      </c>
      <c r="F1716" s="186">
        <v>7.16</v>
      </c>
      <c r="G1716" s="186">
        <v>3.9870721869999999</v>
      </c>
    </row>
    <row r="1717" spans="1:7" ht="14.4">
      <c r="A1717" s="186">
        <v>1716</v>
      </c>
      <c r="B1717" s="186" t="s">
        <v>153</v>
      </c>
      <c r="C1717" s="186" t="s">
        <v>2010</v>
      </c>
      <c r="D1717" s="187">
        <v>10906.7</v>
      </c>
      <c r="E1717" s="186">
        <v>7.13</v>
      </c>
      <c r="F1717" s="186">
        <v>7.16</v>
      </c>
      <c r="G1717" s="186">
        <v>3.9870721869999999</v>
      </c>
    </row>
    <row r="1718" spans="1:7" ht="14.4">
      <c r="A1718" s="186">
        <v>1717</v>
      </c>
      <c r="B1718" s="186" t="s">
        <v>834</v>
      </c>
      <c r="C1718" s="186" t="s">
        <v>2011</v>
      </c>
      <c r="D1718" s="187">
        <v>2707.1</v>
      </c>
      <c r="E1718" s="186">
        <v>7.5</v>
      </c>
      <c r="F1718" s="186">
        <v>7.16</v>
      </c>
      <c r="G1718" s="186">
        <v>3.9870721869999999</v>
      </c>
    </row>
    <row r="1719" spans="1:7" ht="14.4">
      <c r="A1719" s="186">
        <v>1718</v>
      </c>
      <c r="B1719" s="186" t="s">
        <v>565</v>
      </c>
      <c r="C1719" s="186" t="s">
        <v>2012</v>
      </c>
      <c r="D1719" s="186">
        <v>72.8</v>
      </c>
      <c r="E1719" s="186" t="s">
        <v>152</v>
      </c>
      <c r="F1719" s="186">
        <v>7.16</v>
      </c>
      <c r="G1719" s="186">
        <v>3.9870721869999999</v>
      </c>
    </row>
    <row r="1720" spans="1:7" ht="14.4">
      <c r="A1720" s="186">
        <v>1719</v>
      </c>
      <c r="B1720" s="186" t="s">
        <v>138</v>
      </c>
      <c r="C1720" s="186" t="s">
        <v>2013</v>
      </c>
      <c r="D1720" s="186">
        <v>136</v>
      </c>
      <c r="E1720" s="186">
        <v>7.43</v>
      </c>
      <c r="F1720" s="186">
        <v>7.17</v>
      </c>
      <c r="G1720" s="186">
        <v>3.9945201319999999</v>
      </c>
    </row>
    <row r="1721" spans="1:7" ht="14.4">
      <c r="A1721" s="186">
        <v>1720</v>
      </c>
      <c r="B1721" s="186" t="s">
        <v>271</v>
      </c>
      <c r="C1721" s="186" t="s">
        <v>2014</v>
      </c>
      <c r="D1721" s="186">
        <v>144.1</v>
      </c>
      <c r="E1721" s="186">
        <v>7.4</v>
      </c>
      <c r="F1721" s="186">
        <v>7.17</v>
      </c>
      <c r="G1721" s="186">
        <v>3.9945201319999999</v>
      </c>
    </row>
    <row r="1722" spans="1:7" ht="14.4">
      <c r="A1722" s="186">
        <v>1721</v>
      </c>
      <c r="B1722" s="186" t="s">
        <v>175</v>
      </c>
      <c r="C1722" s="186" t="s">
        <v>2015</v>
      </c>
      <c r="D1722" s="186">
        <v>26.1</v>
      </c>
      <c r="E1722" s="186">
        <v>7.22</v>
      </c>
      <c r="F1722" s="186">
        <v>7.17</v>
      </c>
      <c r="G1722" s="186">
        <v>3.9945201319999999</v>
      </c>
    </row>
    <row r="1723" spans="1:7" ht="14.4">
      <c r="A1723" s="186">
        <v>1722</v>
      </c>
      <c r="B1723" s="186" t="s">
        <v>153</v>
      </c>
      <c r="C1723" s="186" t="s">
        <v>2016</v>
      </c>
      <c r="D1723" s="187">
        <v>16388.5</v>
      </c>
      <c r="E1723" s="186">
        <v>7.4</v>
      </c>
      <c r="F1723" s="186">
        <v>7.17</v>
      </c>
      <c r="G1723" s="186">
        <v>3.9945201319999999</v>
      </c>
    </row>
    <row r="1724" spans="1:7" ht="14.4">
      <c r="A1724" s="186">
        <v>1723</v>
      </c>
      <c r="B1724" s="186" t="s">
        <v>553</v>
      </c>
      <c r="C1724" s="186" t="s">
        <v>2017</v>
      </c>
      <c r="D1724" s="186">
        <v>24.8</v>
      </c>
      <c r="E1724" s="186">
        <v>7.41</v>
      </c>
      <c r="F1724" s="186">
        <v>7.17</v>
      </c>
      <c r="G1724" s="186">
        <v>3.9945201319999999</v>
      </c>
    </row>
    <row r="1725" spans="1:7" ht="14.4">
      <c r="A1725" s="186">
        <v>1724</v>
      </c>
      <c r="B1725" s="186" t="s">
        <v>415</v>
      </c>
      <c r="C1725" s="186" t="s">
        <v>2018</v>
      </c>
      <c r="D1725" s="186">
        <v>317.8</v>
      </c>
      <c r="E1725" s="186">
        <v>7.59</v>
      </c>
      <c r="F1725" s="186">
        <v>7.17</v>
      </c>
      <c r="G1725" s="186">
        <v>3.9945201319999999</v>
      </c>
    </row>
    <row r="1726" spans="1:7" ht="14.4">
      <c r="A1726" s="186">
        <v>1725</v>
      </c>
      <c r="B1726" s="186" t="s">
        <v>178</v>
      </c>
      <c r="C1726" s="186" t="s">
        <v>2019</v>
      </c>
      <c r="D1726" s="186">
        <v>5.9</v>
      </c>
      <c r="E1726" s="186">
        <v>7.38</v>
      </c>
      <c r="F1726" s="186">
        <v>7.18</v>
      </c>
      <c r="G1726" s="186">
        <v>4.001981292</v>
      </c>
    </row>
    <row r="1727" spans="1:7" ht="14.4">
      <c r="A1727" s="186">
        <v>1726</v>
      </c>
      <c r="B1727" s="186" t="s">
        <v>184</v>
      </c>
      <c r="C1727" s="186" t="s">
        <v>2020</v>
      </c>
      <c r="D1727" s="187">
        <v>14588</v>
      </c>
      <c r="E1727" s="186">
        <v>7.52</v>
      </c>
      <c r="F1727" s="186">
        <v>7.18</v>
      </c>
      <c r="G1727" s="186">
        <v>4.001981292</v>
      </c>
    </row>
    <row r="1728" spans="1:7" ht="14.4">
      <c r="A1728" s="186">
        <v>1727</v>
      </c>
      <c r="B1728" s="186" t="s">
        <v>1168</v>
      </c>
      <c r="C1728" s="186" t="s">
        <v>2021</v>
      </c>
      <c r="D1728" s="186">
        <v>115.2</v>
      </c>
      <c r="E1728" s="186">
        <v>7.11</v>
      </c>
      <c r="F1728" s="186">
        <v>7.19</v>
      </c>
      <c r="G1728" s="186">
        <v>4.0094556910000003</v>
      </c>
    </row>
    <row r="1729" spans="1:7" ht="14.4">
      <c r="A1729" s="186">
        <v>1728</v>
      </c>
      <c r="B1729" s="186" t="s">
        <v>146</v>
      </c>
      <c r="C1729" s="186" t="s">
        <v>2022</v>
      </c>
      <c r="D1729" s="186">
        <v>259.10000000000002</v>
      </c>
      <c r="E1729" s="186">
        <v>7.51</v>
      </c>
      <c r="F1729" s="186">
        <v>7.19</v>
      </c>
      <c r="G1729" s="186">
        <v>4.0094556910000003</v>
      </c>
    </row>
    <row r="1730" spans="1:7" ht="14.4">
      <c r="A1730" s="186">
        <v>1729</v>
      </c>
      <c r="B1730" s="186" t="s">
        <v>133</v>
      </c>
      <c r="C1730" s="186" t="s">
        <v>2023</v>
      </c>
      <c r="D1730" s="186">
        <v>39.1</v>
      </c>
      <c r="E1730" s="186">
        <v>7.36</v>
      </c>
      <c r="F1730" s="186">
        <v>7.19</v>
      </c>
      <c r="G1730" s="186">
        <v>4.0094556910000003</v>
      </c>
    </row>
    <row r="1731" spans="1:7" ht="14.4">
      <c r="A1731" s="186">
        <v>1730</v>
      </c>
      <c r="B1731" s="186" t="s">
        <v>133</v>
      </c>
      <c r="C1731" s="186" t="s">
        <v>2024</v>
      </c>
      <c r="D1731" s="187">
        <v>3875.9</v>
      </c>
      <c r="E1731" s="186">
        <v>7.07</v>
      </c>
      <c r="F1731" s="186">
        <v>7.19</v>
      </c>
      <c r="G1731" s="186">
        <v>4.0094556910000003</v>
      </c>
    </row>
    <row r="1732" spans="1:7" ht="14.4">
      <c r="A1732" s="186">
        <v>1731</v>
      </c>
      <c r="B1732" s="186" t="s">
        <v>133</v>
      </c>
      <c r="C1732" s="186" t="s">
        <v>2025</v>
      </c>
      <c r="D1732" s="187">
        <v>1069.4000000000001</v>
      </c>
      <c r="E1732" s="186">
        <v>7.32</v>
      </c>
      <c r="F1732" s="186">
        <v>7.19</v>
      </c>
      <c r="G1732" s="186">
        <v>4.0094556910000003</v>
      </c>
    </row>
    <row r="1733" spans="1:7" ht="14.4">
      <c r="A1733" s="186">
        <v>1732</v>
      </c>
      <c r="B1733" s="186" t="s">
        <v>477</v>
      </c>
      <c r="C1733" s="186" t="s">
        <v>2026</v>
      </c>
      <c r="D1733" s="186">
        <v>133.80000000000001</v>
      </c>
      <c r="E1733" s="186">
        <v>7.45</v>
      </c>
      <c r="F1733" s="186">
        <v>7.19</v>
      </c>
      <c r="G1733" s="186">
        <v>4.0094556910000003</v>
      </c>
    </row>
    <row r="1734" spans="1:7" ht="14.4">
      <c r="A1734" s="186">
        <v>1733</v>
      </c>
      <c r="B1734" s="186" t="s">
        <v>728</v>
      </c>
      <c r="C1734" s="186" t="s">
        <v>2027</v>
      </c>
      <c r="D1734" s="186">
        <v>551.5</v>
      </c>
      <c r="E1734" s="186">
        <v>7.38</v>
      </c>
      <c r="F1734" s="186">
        <v>7.19</v>
      </c>
      <c r="G1734" s="186">
        <v>4.0094556910000003</v>
      </c>
    </row>
    <row r="1735" spans="1:7" ht="14.4">
      <c r="A1735" s="186">
        <v>1734</v>
      </c>
      <c r="B1735" s="186" t="s">
        <v>280</v>
      </c>
      <c r="C1735" s="186" t="s">
        <v>2028</v>
      </c>
      <c r="D1735" s="186">
        <v>1.5</v>
      </c>
      <c r="E1735" s="186">
        <v>7.51</v>
      </c>
      <c r="F1735" s="186">
        <v>7.19</v>
      </c>
      <c r="G1735" s="186">
        <v>4.0094556910000003</v>
      </c>
    </row>
    <row r="1736" spans="1:7" ht="14.4">
      <c r="A1736" s="186">
        <v>1735</v>
      </c>
      <c r="B1736" s="186" t="s">
        <v>178</v>
      </c>
      <c r="C1736" s="186" t="s">
        <v>2029</v>
      </c>
      <c r="D1736" s="186">
        <v>10</v>
      </c>
      <c r="E1736" s="186">
        <v>7.44</v>
      </c>
      <c r="F1736" s="186">
        <v>7.2</v>
      </c>
      <c r="G1736" s="186">
        <v>4.0169433510000001</v>
      </c>
    </row>
    <row r="1737" spans="1:7" ht="14.4">
      <c r="A1737" s="186">
        <v>1736</v>
      </c>
      <c r="B1737" s="186" t="s">
        <v>2030</v>
      </c>
      <c r="C1737" s="186" t="s">
        <v>2031</v>
      </c>
      <c r="D1737" s="186">
        <v>15.8</v>
      </c>
      <c r="E1737" s="186">
        <v>7.53</v>
      </c>
      <c r="F1737" s="186">
        <v>7.2</v>
      </c>
      <c r="G1737" s="186">
        <v>4.0169433510000001</v>
      </c>
    </row>
    <row r="1738" spans="1:7" ht="14.4">
      <c r="A1738" s="186">
        <v>1737</v>
      </c>
      <c r="B1738" s="186" t="s">
        <v>2032</v>
      </c>
      <c r="C1738" s="186" t="s">
        <v>2033</v>
      </c>
      <c r="D1738" s="187">
        <v>5364.4</v>
      </c>
      <c r="E1738" s="186">
        <v>7.48</v>
      </c>
      <c r="F1738" s="186">
        <v>7.2</v>
      </c>
      <c r="G1738" s="186">
        <v>4.0169433510000001</v>
      </c>
    </row>
    <row r="1739" spans="1:7" ht="14.4">
      <c r="A1739" s="186">
        <v>1738</v>
      </c>
      <c r="B1739" s="186" t="s">
        <v>213</v>
      </c>
      <c r="C1739" s="186" t="s">
        <v>2034</v>
      </c>
      <c r="D1739" s="186">
        <v>81.3</v>
      </c>
      <c r="E1739" s="186">
        <v>7.21</v>
      </c>
      <c r="F1739" s="186">
        <v>7.2</v>
      </c>
      <c r="G1739" s="186">
        <v>4.0169433510000001</v>
      </c>
    </row>
    <row r="1740" spans="1:7" ht="14.4">
      <c r="A1740" s="186">
        <v>1739</v>
      </c>
      <c r="B1740" s="186" t="s">
        <v>241</v>
      </c>
      <c r="C1740" s="186" t="s">
        <v>2035</v>
      </c>
      <c r="D1740" s="186">
        <v>149.4</v>
      </c>
      <c r="E1740" s="186">
        <v>7.59</v>
      </c>
      <c r="F1740" s="186">
        <v>7.21</v>
      </c>
      <c r="G1740" s="186">
        <v>4.0244442930000002</v>
      </c>
    </row>
    <row r="1741" spans="1:7" ht="14.4">
      <c r="A1741" s="186">
        <v>1740</v>
      </c>
      <c r="B1741" s="186" t="s">
        <v>178</v>
      </c>
      <c r="C1741" s="186" t="s">
        <v>2036</v>
      </c>
      <c r="D1741" s="186">
        <v>0.1</v>
      </c>
      <c r="E1741" s="186">
        <v>7.63</v>
      </c>
      <c r="F1741" s="186">
        <v>7.21</v>
      </c>
      <c r="G1741" s="186">
        <v>4.0244442930000002</v>
      </c>
    </row>
    <row r="1742" spans="1:7" ht="14.4">
      <c r="A1742" s="186">
        <v>1741</v>
      </c>
      <c r="B1742" s="186" t="s">
        <v>263</v>
      </c>
      <c r="C1742" s="186" t="s">
        <v>2037</v>
      </c>
      <c r="D1742" s="186">
        <v>498</v>
      </c>
      <c r="E1742" s="186">
        <v>7.31</v>
      </c>
      <c r="F1742" s="186">
        <v>7.21</v>
      </c>
      <c r="G1742" s="186">
        <v>4.0244442930000002</v>
      </c>
    </row>
    <row r="1743" spans="1:7" ht="14.4">
      <c r="A1743" s="186">
        <v>1742</v>
      </c>
      <c r="B1743" s="186" t="s">
        <v>373</v>
      </c>
      <c r="C1743" s="186" t="s">
        <v>2038</v>
      </c>
      <c r="D1743" s="186">
        <v>1.1000000000000001</v>
      </c>
      <c r="E1743" s="186">
        <v>7.49</v>
      </c>
      <c r="F1743" s="186">
        <v>7.21</v>
      </c>
      <c r="G1743" s="186">
        <v>4.0244442930000002</v>
      </c>
    </row>
    <row r="1744" spans="1:7" ht="14.4">
      <c r="A1744" s="186">
        <v>1743</v>
      </c>
      <c r="B1744" s="186" t="s">
        <v>307</v>
      </c>
      <c r="C1744" s="186" t="s">
        <v>2039</v>
      </c>
      <c r="D1744" s="186">
        <v>134.1</v>
      </c>
      <c r="E1744" s="186">
        <v>6.99</v>
      </c>
      <c r="F1744" s="186">
        <v>7.21</v>
      </c>
      <c r="G1744" s="186">
        <v>4.0244442930000002</v>
      </c>
    </row>
    <row r="1745" spans="1:7" ht="14.4">
      <c r="A1745" s="186">
        <v>1744</v>
      </c>
      <c r="B1745" s="186" t="s">
        <v>288</v>
      </c>
      <c r="C1745" s="186" t="s">
        <v>2040</v>
      </c>
      <c r="D1745" s="187">
        <v>6681.9</v>
      </c>
      <c r="E1745" s="186">
        <v>7.48</v>
      </c>
      <c r="F1745" s="186">
        <v>7.21</v>
      </c>
      <c r="G1745" s="186">
        <v>4.0244442930000002</v>
      </c>
    </row>
    <row r="1746" spans="1:7" ht="14.4">
      <c r="A1746" s="186">
        <v>1745</v>
      </c>
      <c r="B1746" s="186" t="s">
        <v>1290</v>
      </c>
      <c r="C1746" s="186" t="s">
        <v>2041</v>
      </c>
      <c r="D1746" s="186">
        <v>256.39999999999998</v>
      </c>
      <c r="E1746" s="186">
        <v>7.41</v>
      </c>
      <c r="F1746" s="186">
        <v>7.21</v>
      </c>
      <c r="G1746" s="186">
        <v>4.0244442930000002</v>
      </c>
    </row>
    <row r="1747" spans="1:7" ht="14.4">
      <c r="A1747" s="186">
        <v>1746</v>
      </c>
      <c r="B1747" s="186" t="s">
        <v>184</v>
      </c>
      <c r="C1747" s="186" t="s">
        <v>2042</v>
      </c>
      <c r="D1747" s="187">
        <v>7479.5</v>
      </c>
      <c r="E1747" s="186">
        <v>7.59</v>
      </c>
      <c r="F1747" s="186">
        <v>7.21</v>
      </c>
      <c r="G1747" s="186">
        <v>4.0244442930000002</v>
      </c>
    </row>
    <row r="1748" spans="1:7" ht="14.4">
      <c r="A1748" s="186">
        <v>1747</v>
      </c>
      <c r="B1748" s="186" t="s">
        <v>280</v>
      </c>
      <c r="C1748" s="186" t="s">
        <v>2043</v>
      </c>
      <c r="D1748" s="186">
        <v>303.5</v>
      </c>
      <c r="E1748" s="186">
        <v>7.18</v>
      </c>
      <c r="F1748" s="186">
        <v>7.21</v>
      </c>
      <c r="G1748" s="186">
        <v>4.0244442930000002</v>
      </c>
    </row>
    <row r="1749" spans="1:7" ht="14.4">
      <c r="A1749" s="186">
        <v>1748</v>
      </c>
      <c r="B1749" s="186" t="s">
        <v>1228</v>
      </c>
      <c r="C1749" s="186" t="s">
        <v>2044</v>
      </c>
      <c r="D1749" s="186">
        <v>89.3</v>
      </c>
      <c r="E1749" s="186">
        <v>7.49</v>
      </c>
      <c r="F1749" s="186">
        <v>7.22</v>
      </c>
      <c r="G1749" s="186">
        <v>4.0319585409999998</v>
      </c>
    </row>
    <row r="1750" spans="1:7" ht="14.4">
      <c r="A1750" s="186">
        <v>1749</v>
      </c>
      <c r="B1750" s="186" t="s">
        <v>1228</v>
      </c>
      <c r="C1750" s="186" t="s">
        <v>2045</v>
      </c>
      <c r="D1750" s="186">
        <v>996.7</v>
      </c>
      <c r="E1750" s="186">
        <v>7.49</v>
      </c>
      <c r="F1750" s="186">
        <v>7.22</v>
      </c>
      <c r="G1750" s="186">
        <v>4.0319585409999998</v>
      </c>
    </row>
    <row r="1751" spans="1:7" ht="14.4">
      <c r="A1751" s="186">
        <v>1750</v>
      </c>
      <c r="B1751" s="186" t="s">
        <v>178</v>
      </c>
      <c r="C1751" s="186" t="s">
        <v>2046</v>
      </c>
      <c r="D1751" s="186">
        <v>118.9</v>
      </c>
      <c r="E1751" s="186">
        <v>7.65</v>
      </c>
      <c r="F1751" s="186">
        <v>7.22</v>
      </c>
      <c r="G1751" s="186">
        <v>4.0319585409999998</v>
      </c>
    </row>
    <row r="1752" spans="1:7" ht="14.4">
      <c r="A1752" s="186">
        <v>1751</v>
      </c>
      <c r="B1752" s="186" t="s">
        <v>178</v>
      </c>
      <c r="C1752" s="186" t="s">
        <v>2047</v>
      </c>
      <c r="D1752" s="186">
        <v>124.3</v>
      </c>
      <c r="E1752" s="186">
        <v>7.64</v>
      </c>
      <c r="F1752" s="186">
        <v>7.22</v>
      </c>
      <c r="G1752" s="186">
        <v>4.0319585409999998</v>
      </c>
    </row>
    <row r="1753" spans="1:7" ht="14.4">
      <c r="A1753" s="186">
        <v>1752</v>
      </c>
      <c r="B1753" s="186" t="s">
        <v>712</v>
      </c>
      <c r="C1753" s="186" t="s">
        <v>2048</v>
      </c>
      <c r="D1753" s="186">
        <v>586.5</v>
      </c>
      <c r="E1753" s="186">
        <v>7.34</v>
      </c>
      <c r="F1753" s="186">
        <v>7.22</v>
      </c>
      <c r="G1753" s="186">
        <v>4.0319585409999998</v>
      </c>
    </row>
    <row r="1754" spans="1:7" ht="14.4">
      <c r="A1754" s="186">
        <v>1753</v>
      </c>
      <c r="B1754" s="186" t="s">
        <v>365</v>
      </c>
      <c r="C1754" s="186" t="s">
        <v>2049</v>
      </c>
      <c r="D1754" s="186">
        <v>1</v>
      </c>
      <c r="E1754" s="186">
        <v>7.45</v>
      </c>
      <c r="F1754" s="186">
        <v>7.22</v>
      </c>
      <c r="G1754" s="186">
        <v>4.0319585409999998</v>
      </c>
    </row>
    <row r="1755" spans="1:7" ht="14.4">
      <c r="A1755" s="186">
        <v>1754</v>
      </c>
      <c r="B1755" s="186" t="s">
        <v>373</v>
      </c>
      <c r="C1755" s="186" t="s">
        <v>2050</v>
      </c>
      <c r="D1755" s="186">
        <v>136.80000000000001</v>
      </c>
      <c r="E1755" s="186">
        <v>7.55</v>
      </c>
      <c r="F1755" s="186">
        <v>7.22</v>
      </c>
      <c r="G1755" s="186">
        <v>4.0319585409999998</v>
      </c>
    </row>
    <row r="1756" spans="1:7" ht="14.4">
      <c r="A1756" s="186">
        <v>1755</v>
      </c>
      <c r="B1756" s="186" t="s">
        <v>187</v>
      </c>
      <c r="C1756" s="186" t="s">
        <v>2051</v>
      </c>
      <c r="D1756" s="187">
        <v>18371.5</v>
      </c>
      <c r="E1756" s="186">
        <v>7.43</v>
      </c>
      <c r="F1756" s="186">
        <v>7.22</v>
      </c>
      <c r="G1756" s="186">
        <v>4.0319585409999998</v>
      </c>
    </row>
    <row r="1757" spans="1:7" ht="14.4">
      <c r="A1757" s="186">
        <v>1756</v>
      </c>
      <c r="B1757" s="186" t="s">
        <v>602</v>
      </c>
      <c r="C1757" s="186" t="s">
        <v>2052</v>
      </c>
      <c r="D1757" s="186">
        <v>233</v>
      </c>
      <c r="E1757" s="186">
        <v>7.5</v>
      </c>
      <c r="F1757" s="186">
        <v>7.23</v>
      </c>
      <c r="G1757" s="186">
        <v>4.039486116</v>
      </c>
    </row>
    <row r="1758" spans="1:7" ht="14.4">
      <c r="A1758" s="186">
        <v>1757</v>
      </c>
      <c r="B1758" s="186" t="s">
        <v>178</v>
      </c>
      <c r="C1758" s="186" t="s">
        <v>2053</v>
      </c>
      <c r="D1758" s="186">
        <v>15.4</v>
      </c>
      <c r="E1758" s="186">
        <v>7.45</v>
      </c>
      <c r="F1758" s="186">
        <v>7.23</v>
      </c>
      <c r="G1758" s="186">
        <v>4.039486116</v>
      </c>
    </row>
    <row r="1759" spans="1:7" ht="14.4">
      <c r="A1759" s="186">
        <v>1758</v>
      </c>
      <c r="B1759" s="186" t="s">
        <v>153</v>
      </c>
      <c r="C1759" s="186" t="s">
        <v>2054</v>
      </c>
      <c r="D1759" s="187">
        <v>1467</v>
      </c>
      <c r="E1759" s="186">
        <v>7.59</v>
      </c>
      <c r="F1759" s="186">
        <v>7.23</v>
      </c>
      <c r="G1759" s="186">
        <v>4.039486116</v>
      </c>
    </row>
    <row r="1760" spans="1:7" ht="14.4">
      <c r="A1760" s="186">
        <v>1759</v>
      </c>
      <c r="B1760" s="186" t="s">
        <v>263</v>
      </c>
      <c r="C1760" s="186" t="s">
        <v>2055</v>
      </c>
      <c r="D1760" s="186">
        <v>176.6</v>
      </c>
      <c r="E1760" s="186">
        <v>6.95</v>
      </c>
      <c r="F1760" s="186">
        <v>7.23</v>
      </c>
      <c r="G1760" s="186">
        <v>4.039486116</v>
      </c>
    </row>
    <row r="1761" spans="1:7" ht="14.4">
      <c r="A1761" s="186">
        <v>1760</v>
      </c>
      <c r="B1761" s="186" t="s">
        <v>365</v>
      </c>
      <c r="C1761" s="186" t="s">
        <v>2056</v>
      </c>
      <c r="D1761" s="186">
        <v>76.599999999999994</v>
      </c>
      <c r="E1761" s="186">
        <v>7.45</v>
      </c>
      <c r="F1761" s="186">
        <v>7.23</v>
      </c>
      <c r="G1761" s="186">
        <v>4.039486116</v>
      </c>
    </row>
    <row r="1762" spans="1:7" ht="14.4">
      <c r="A1762" s="186">
        <v>1761</v>
      </c>
      <c r="B1762" s="186" t="s">
        <v>373</v>
      </c>
      <c r="C1762" s="186" t="s">
        <v>2057</v>
      </c>
      <c r="D1762" s="186">
        <v>0.1</v>
      </c>
      <c r="E1762" s="186">
        <v>7.51</v>
      </c>
      <c r="F1762" s="186">
        <v>7.23</v>
      </c>
      <c r="G1762" s="186">
        <v>4.039486116</v>
      </c>
    </row>
    <row r="1763" spans="1:7" ht="14.4">
      <c r="A1763" s="186">
        <v>1762</v>
      </c>
      <c r="B1763" s="186" t="s">
        <v>834</v>
      </c>
      <c r="C1763" s="186" t="s">
        <v>2058</v>
      </c>
      <c r="D1763" s="186">
        <v>946.2</v>
      </c>
      <c r="E1763" s="186">
        <v>7.52</v>
      </c>
      <c r="F1763" s="186">
        <v>7.23</v>
      </c>
      <c r="G1763" s="186">
        <v>4.039486116</v>
      </c>
    </row>
    <row r="1764" spans="1:7" ht="14.4">
      <c r="A1764" s="186">
        <v>1763</v>
      </c>
      <c r="B1764" s="186" t="s">
        <v>340</v>
      </c>
      <c r="C1764" s="186" t="s">
        <v>2059</v>
      </c>
      <c r="D1764" s="186">
        <v>8.4</v>
      </c>
      <c r="E1764" s="186">
        <v>7.46</v>
      </c>
      <c r="F1764" s="186">
        <v>7.23</v>
      </c>
      <c r="G1764" s="186">
        <v>4.039486116</v>
      </c>
    </row>
    <row r="1765" spans="1:7" ht="14.4">
      <c r="A1765" s="186">
        <v>1764</v>
      </c>
      <c r="B1765" s="186" t="s">
        <v>1228</v>
      </c>
      <c r="C1765" s="186" t="s">
        <v>2060</v>
      </c>
      <c r="D1765" s="187">
        <v>9016.2999999999993</v>
      </c>
      <c r="E1765" s="186">
        <v>7.18</v>
      </c>
      <c r="F1765" s="186">
        <v>7.24</v>
      </c>
      <c r="G1765" s="186">
        <v>4.0470270409999998</v>
      </c>
    </row>
    <row r="1766" spans="1:7" ht="14.4">
      <c r="A1766" s="186">
        <v>1765</v>
      </c>
      <c r="B1766" s="186" t="s">
        <v>153</v>
      </c>
      <c r="C1766" s="186" t="s">
        <v>2061</v>
      </c>
      <c r="D1766" s="187">
        <v>5707.2</v>
      </c>
      <c r="E1766" s="186">
        <v>7.47</v>
      </c>
      <c r="F1766" s="186">
        <v>7.24</v>
      </c>
      <c r="G1766" s="186">
        <v>4.0470270409999998</v>
      </c>
    </row>
    <row r="1767" spans="1:7" ht="14.4">
      <c r="A1767" s="186">
        <v>1766</v>
      </c>
      <c r="B1767" s="186" t="s">
        <v>153</v>
      </c>
      <c r="C1767" s="186" t="s">
        <v>2062</v>
      </c>
      <c r="D1767" s="187">
        <v>8558.7999999999993</v>
      </c>
      <c r="E1767" s="186">
        <v>7.21</v>
      </c>
      <c r="F1767" s="186">
        <v>7.24</v>
      </c>
      <c r="G1767" s="186">
        <v>4.0470270409999998</v>
      </c>
    </row>
    <row r="1768" spans="1:7" ht="14.4">
      <c r="A1768" s="186">
        <v>1767</v>
      </c>
      <c r="B1768" s="186" t="s">
        <v>126</v>
      </c>
      <c r="C1768" s="186" t="s">
        <v>2063</v>
      </c>
      <c r="D1768" s="186">
        <v>425.1</v>
      </c>
      <c r="E1768" s="186">
        <v>7.59</v>
      </c>
      <c r="F1768" s="186">
        <v>7.24</v>
      </c>
      <c r="G1768" s="186">
        <v>4.0470270409999998</v>
      </c>
    </row>
    <row r="1769" spans="1:7" ht="14.4">
      <c r="A1769" s="186">
        <v>1768</v>
      </c>
      <c r="B1769" s="186" t="s">
        <v>317</v>
      </c>
      <c r="C1769" s="186" t="s">
        <v>2064</v>
      </c>
      <c r="D1769" s="186">
        <v>271.3</v>
      </c>
      <c r="E1769" s="186">
        <v>7.56</v>
      </c>
      <c r="F1769" s="186">
        <v>7.24</v>
      </c>
      <c r="G1769" s="186">
        <v>4.0470270409999998</v>
      </c>
    </row>
    <row r="1770" spans="1:7" ht="14.4">
      <c r="A1770" s="186">
        <v>1769</v>
      </c>
      <c r="B1770" s="186" t="s">
        <v>178</v>
      </c>
      <c r="C1770" s="186" t="s">
        <v>2065</v>
      </c>
      <c r="D1770" s="186">
        <v>303.5</v>
      </c>
      <c r="E1770" s="186">
        <v>7.68</v>
      </c>
      <c r="F1770" s="186">
        <v>7.25</v>
      </c>
      <c r="G1770" s="186">
        <v>4.0545813380000002</v>
      </c>
    </row>
    <row r="1771" spans="1:7" ht="14.4">
      <c r="A1771" s="186">
        <v>1770</v>
      </c>
      <c r="B1771" s="186" t="s">
        <v>303</v>
      </c>
      <c r="C1771" s="186" t="s">
        <v>2066</v>
      </c>
      <c r="D1771" s="186">
        <v>33.9</v>
      </c>
      <c r="E1771" s="186">
        <v>7.11</v>
      </c>
      <c r="F1771" s="186">
        <v>7.25</v>
      </c>
      <c r="G1771" s="186">
        <v>4.0545813380000002</v>
      </c>
    </row>
    <row r="1772" spans="1:7" ht="14.4">
      <c r="A1772" s="186">
        <v>1771</v>
      </c>
      <c r="B1772" s="186" t="s">
        <v>194</v>
      </c>
      <c r="C1772" s="186" t="s">
        <v>2067</v>
      </c>
      <c r="D1772" s="187">
        <v>2296.8000000000002</v>
      </c>
      <c r="E1772" s="186">
        <v>7.43</v>
      </c>
      <c r="F1772" s="186">
        <v>7.25</v>
      </c>
      <c r="G1772" s="186">
        <v>4.0545813380000002</v>
      </c>
    </row>
    <row r="1773" spans="1:7" ht="14.4">
      <c r="A1773" s="186">
        <v>1772</v>
      </c>
      <c r="B1773" s="186" t="s">
        <v>184</v>
      </c>
      <c r="C1773" s="186" t="s">
        <v>2068</v>
      </c>
      <c r="D1773" s="187">
        <v>95459</v>
      </c>
      <c r="E1773" s="186" t="s">
        <v>152</v>
      </c>
      <c r="F1773" s="186">
        <v>7.25</v>
      </c>
      <c r="G1773" s="186">
        <v>4.0545813380000002</v>
      </c>
    </row>
    <row r="1774" spans="1:7" ht="14.4">
      <c r="A1774" s="186">
        <v>1773</v>
      </c>
      <c r="B1774" s="186" t="s">
        <v>263</v>
      </c>
      <c r="C1774" s="186" t="s">
        <v>2069</v>
      </c>
      <c r="D1774" s="186">
        <v>225.7</v>
      </c>
      <c r="E1774" s="186">
        <v>7.49</v>
      </c>
      <c r="F1774" s="186">
        <v>7.26</v>
      </c>
      <c r="G1774" s="186">
        <v>4.0621490299999996</v>
      </c>
    </row>
    <row r="1775" spans="1:7" ht="14.4">
      <c r="A1775" s="186">
        <v>1774</v>
      </c>
      <c r="B1775" s="186" t="s">
        <v>373</v>
      </c>
      <c r="C1775" s="186" t="s">
        <v>2070</v>
      </c>
      <c r="D1775" s="186">
        <v>5.0999999999999996</v>
      </c>
      <c r="E1775" s="186">
        <v>7.56</v>
      </c>
      <c r="F1775" s="186">
        <v>7.26</v>
      </c>
      <c r="G1775" s="186">
        <v>4.0621490299999996</v>
      </c>
    </row>
    <row r="1776" spans="1:7" ht="14.4">
      <c r="A1776" s="186">
        <v>1775</v>
      </c>
      <c r="B1776" s="186" t="s">
        <v>319</v>
      </c>
      <c r="C1776" s="186" t="s">
        <v>2071</v>
      </c>
      <c r="D1776" s="186">
        <v>26.9</v>
      </c>
      <c r="E1776" s="186">
        <v>7.28</v>
      </c>
      <c r="F1776" s="186">
        <v>7.26</v>
      </c>
      <c r="G1776" s="186">
        <v>4.0621490299999996</v>
      </c>
    </row>
    <row r="1777" spans="1:7" ht="14.4">
      <c r="A1777" s="186">
        <v>1776</v>
      </c>
      <c r="B1777" s="186" t="s">
        <v>1228</v>
      </c>
      <c r="C1777" s="186" t="s">
        <v>2072</v>
      </c>
      <c r="D1777" s="187">
        <v>2027.3</v>
      </c>
      <c r="E1777" s="186">
        <v>7.19</v>
      </c>
      <c r="F1777" s="186">
        <v>7.27</v>
      </c>
      <c r="G1777" s="186">
        <v>4.0697301389999998</v>
      </c>
    </row>
    <row r="1778" spans="1:7" ht="14.4">
      <c r="A1778" s="186">
        <v>1777</v>
      </c>
      <c r="B1778" s="186" t="s">
        <v>303</v>
      </c>
      <c r="C1778" s="186" t="s">
        <v>2073</v>
      </c>
      <c r="D1778" s="186">
        <v>505.7</v>
      </c>
      <c r="E1778" s="186">
        <v>7.13</v>
      </c>
      <c r="F1778" s="186">
        <v>7.27</v>
      </c>
      <c r="G1778" s="186">
        <v>4.0697301389999998</v>
      </c>
    </row>
    <row r="1779" spans="1:7" ht="14.4">
      <c r="A1779" s="186">
        <v>1778</v>
      </c>
      <c r="B1779" s="186" t="s">
        <v>263</v>
      </c>
      <c r="C1779" s="186" t="s">
        <v>2074</v>
      </c>
      <c r="D1779" s="186">
        <v>215.2</v>
      </c>
      <c r="E1779" s="186">
        <v>7.61</v>
      </c>
      <c r="F1779" s="186">
        <v>7.27</v>
      </c>
      <c r="G1779" s="186">
        <v>4.0697301389999998</v>
      </c>
    </row>
    <row r="1780" spans="1:7" ht="14.4">
      <c r="A1780" s="186">
        <v>1779</v>
      </c>
      <c r="B1780" s="186" t="s">
        <v>146</v>
      </c>
      <c r="C1780" s="186" t="s">
        <v>2075</v>
      </c>
      <c r="D1780" s="186">
        <v>89.4</v>
      </c>
      <c r="E1780" s="186">
        <v>7.27</v>
      </c>
      <c r="F1780" s="186">
        <v>7.27</v>
      </c>
      <c r="G1780" s="186">
        <v>4.0697301389999998</v>
      </c>
    </row>
    <row r="1781" spans="1:7" ht="14.4">
      <c r="A1781" s="186">
        <v>1780</v>
      </c>
      <c r="B1781" s="186" t="s">
        <v>373</v>
      </c>
      <c r="C1781" s="186" t="s">
        <v>2076</v>
      </c>
      <c r="D1781" s="187">
        <v>1409.5</v>
      </c>
      <c r="E1781" s="186">
        <v>7.32</v>
      </c>
      <c r="F1781" s="186">
        <v>7.27</v>
      </c>
      <c r="G1781" s="186">
        <v>4.0697301389999998</v>
      </c>
    </row>
    <row r="1782" spans="1:7" ht="14.4">
      <c r="A1782" s="186">
        <v>1781</v>
      </c>
      <c r="B1782" s="186" t="s">
        <v>118</v>
      </c>
      <c r="C1782" s="186" t="s">
        <v>2077</v>
      </c>
      <c r="D1782" s="186">
        <v>96.7</v>
      </c>
      <c r="E1782" s="186">
        <v>7.48</v>
      </c>
      <c r="F1782" s="186">
        <v>7.27</v>
      </c>
      <c r="G1782" s="186">
        <v>4.0697301389999998</v>
      </c>
    </row>
    <row r="1783" spans="1:7" ht="14.4">
      <c r="A1783" s="186">
        <v>1782</v>
      </c>
      <c r="B1783" s="186" t="s">
        <v>1228</v>
      </c>
      <c r="C1783" s="186" t="s">
        <v>2078</v>
      </c>
      <c r="D1783" s="186">
        <v>58</v>
      </c>
      <c r="E1783" s="186">
        <v>7.37</v>
      </c>
      <c r="F1783" s="186">
        <v>7.28</v>
      </c>
      <c r="G1783" s="186">
        <v>4.077324688</v>
      </c>
    </row>
    <row r="1784" spans="1:7" ht="14.4">
      <c r="A1784" s="186">
        <v>1783</v>
      </c>
      <c r="B1784" s="186" t="s">
        <v>1228</v>
      </c>
      <c r="C1784" s="186" t="s">
        <v>2079</v>
      </c>
      <c r="D1784" s="186">
        <v>829.1</v>
      </c>
      <c r="E1784" s="186">
        <v>7.36</v>
      </c>
      <c r="F1784" s="186">
        <v>7.28</v>
      </c>
      <c r="G1784" s="186">
        <v>4.077324688</v>
      </c>
    </row>
    <row r="1785" spans="1:7" ht="14.4">
      <c r="A1785" s="186">
        <v>1784</v>
      </c>
      <c r="B1785" s="186" t="s">
        <v>303</v>
      </c>
      <c r="C1785" s="186" t="s">
        <v>2080</v>
      </c>
      <c r="D1785" s="186">
        <v>835.1</v>
      </c>
      <c r="E1785" s="186">
        <v>7.41</v>
      </c>
      <c r="F1785" s="186">
        <v>7.28</v>
      </c>
      <c r="G1785" s="186">
        <v>4.077324688</v>
      </c>
    </row>
    <row r="1786" spans="1:7" ht="14.4">
      <c r="A1786" s="186">
        <v>1785</v>
      </c>
      <c r="B1786" s="186" t="s">
        <v>252</v>
      </c>
      <c r="C1786" s="186" t="s">
        <v>2081</v>
      </c>
      <c r="D1786" s="186">
        <v>828.5</v>
      </c>
      <c r="E1786" s="186">
        <v>7.28</v>
      </c>
      <c r="F1786" s="186">
        <v>7.28</v>
      </c>
      <c r="G1786" s="186">
        <v>4.077324688</v>
      </c>
    </row>
    <row r="1787" spans="1:7" ht="14.4">
      <c r="A1787" s="186">
        <v>1786</v>
      </c>
      <c r="B1787" s="186" t="s">
        <v>175</v>
      </c>
      <c r="C1787" s="186" t="s">
        <v>2082</v>
      </c>
      <c r="D1787" s="186">
        <v>37.4</v>
      </c>
      <c r="E1787" s="186">
        <v>7</v>
      </c>
      <c r="F1787" s="186">
        <v>7.28</v>
      </c>
      <c r="G1787" s="186">
        <v>4.077324688</v>
      </c>
    </row>
    <row r="1788" spans="1:7" ht="14.4">
      <c r="A1788" s="186">
        <v>1787</v>
      </c>
      <c r="B1788" s="186" t="s">
        <v>122</v>
      </c>
      <c r="C1788" s="186" t="s">
        <v>2083</v>
      </c>
      <c r="D1788" s="186">
        <v>157.80000000000001</v>
      </c>
      <c r="E1788" s="186">
        <v>7.61</v>
      </c>
      <c r="F1788" s="186">
        <v>7.28</v>
      </c>
      <c r="G1788" s="186">
        <v>4.077324688</v>
      </c>
    </row>
    <row r="1789" spans="1:7" ht="14.4">
      <c r="A1789" s="186">
        <v>1788</v>
      </c>
      <c r="B1789" s="186" t="s">
        <v>263</v>
      </c>
      <c r="C1789" s="186" t="s">
        <v>2084</v>
      </c>
      <c r="D1789" s="186">
        <v>2.1</v>
      </c>
      <c r="E1789" s="186">
        <v>7.47</v>
      </c>
      <c r="F1789" s="186">
        <v>7.28</v>
      </c>
      <c r="G1789" s="186">
        <v>4.077324688</v>
      </c>
    </row>
    <row r="1790" spans="1:7" ht="14.4">
      <c r="A1790" s="186">
        <v>1789</v>
      </c>
      <c r="B1790" s="186" t="s">
        <v>2085</v>
      </c>
      <c r="C1790" s="186" t="s">
        <v>2086</v>
      </c>
      <c r="D1790" s="186">
        <v>161.19999999999999</v>
      </c>
      <c r="E1790" s="186">
        <v>7.57</v>
      </c>
      <c r="F1790" s="186">
        <v>7.28</v>
      </c>
      <c r="G1790" s="186">
        <v>4.077324688</v>
      </c>
    </row>
    <row r="1791" spans="1:7" ht="14.4">
      <c r="A1791" s="186">
        <v>1790</v>
      </c>
      <c r="B1791" s="186" t="s">
        <v>1228</v>
      </c>
      <c r="C1791" s="186" t="s">
        <v>2087</v>
      </c>
      <c r="D1791" s="187">
        <v>2888.9</v>
      </c>
      <c r="E1791" s="186">
        <v>7.53</v>
      </c>
      <c r="F1791" s="186">
        <v>7.29</v>
      </c>
      <c r="G1791" s="186">
        <v>4.0849327000000004</v>
      </c>
    </row>
    <row r="1792" spans="1:7" ht="14.4">
      <c r="A1792" s="186">
        <v>1791</v>
      </c>
      <c r="B1792" s="186" t="s">
        <v>210</v>
      </c>
      <c r="C1792" s="186" t="s">
        <v>2088</v>
      </c>
      <c r="D1792" s="186">
        <v>702.2</v>
      </c>
      <c r="E1792" s="186">
        <v>7.61</v>
      </c>
      <c r="F1792" s="186">
        <v>7.29</v>
      </c>
      <c r="G1792" s="186">
        <v>4.0849327000000004</v>
      </c>
    </row>
    <row r="1793" spans="1:7" ht="14.4">
      <c r="A1793" s="186">
        <v>1792</v>
      </c>
      <c r="B1793" s="186" t="s">
        <v>834</v>
      </c>
      <c r="C1793" s="186" t="s">
        <v>2089</v>
      </c>
      <c r="D1793" s="186">
        <v>176.4</v>
      </c>
      <c r="E1793" s="186">
        <v>7.58</v>
      </c>
      <c r="F1793" s="186">
        <v>7.29</v>
      </c>
      <c r="G1793" s="186">
        <v>4.0849327000000004</v>
      </c>
    </row>
    <row r="1794" spans="1:7" ht="14.4">
      <c r="A1794" s="186">
        <v>1793</v>
      </c>
      <c r="B1794" s="186" t="s">
        <v>1228</v>
      </c>
      <c r="C1794" s="186" t="s">
        <v>2090</v>
      </c>
      <c r="D1794" s="187">
        <v>2924.1</v>
      </c>
      <c r="E1794" s="186">
        <v>7.54</v>
      </c>
      <c r="F1794" s="186">
        <v>7.3</v>
      </c>
      <c r="G1794" s="186">
        <v>4.092554196</v>
      </c>
    </row>
    <row r="1795" spans="1:7" ht="14.4">
      <c r="A1795" s="186">
        <v>1794</v>
      </c>
      <c r="B1795" s="186" t="s">
        <v>271</v>
      </c>
      <c r="C1795" s="186" t="s">
        <v>2091</v>
      </c>
      <c r="D1795" s="186">
        <v>47.7</v>
      </c>
      <c r="E1795" s="186">
        <v>7.56</v>
      </c>
      <c r="F1795" s="186">
        <v>7.3</v>
      </c>
      <c r="G1795" s="186">
        <v>4.092554196</v>
      </c>
    </row>
    <row r="1796" spans="1:7" ht="14.4">
      <c r="A1796" s="186">
        <v>1795</v>
      </c>
      <c r="B1796" s="186" t="s">
        <v>175</v>
      </c>
      <c r="C1796" s="186" t="s">
        <v>2092</v>
      </c>
      <c r="D1796" s="186">
        <v>22.5</v>
      </c>
      <c r="E1796" s="186">
        <v>7.46</v>
      </c>
      <c r="F1796" s="186">
        <v>7.3</v>
      </c>
      <c r="G1796" s="186">
        <v>4.092554196</v>
      </c>
    </row>
    <row r="1797" spans="1:7" ht="14.4">
      <c r="A1797" s="186">
        <v>1796</v>
      </c>
      <c r="B1797" s="186" t="s">
        <v>175</v>
      </c>
      <c r="C1797" s="186" t="s">
        <v>2093</v>
      </c>
      <c r="D1797" s="186">
        <v>225.6</v>
      </c>
      <c r="E1797" s="186">
        <v>7.6</v>
      </c>
      <c r="F1797" s="186">
        <v>7.3</v>
      </c>
      <c r="G1797" s="186">
        <v>4.092554196</v>
      </c>
    </row>
    <row r="1798" spans="1:7" ht="14.4">
      <c r="A1798" s="186">
        <v>1797</v>
      </c>
      <c r="B1798" s="186" t="s">
        <v>153</v>
      </c>
      <c r="C1798" s="186" t="s">
        <v>2094</v>
      </c>
      <c r="D1798" s="187">
        <v>1097</v>
      </c>
      <c r="E1798" s="186">
        <v>7.46</v>
      </c>
      <c r="F1798" s="186">
        <v>7.3</v>
      </c>
      <c r="G1798" s="186">
        <v>4.092554196</v>
      </c>
    </row>
    <row r="1799" spans="1:7" ht="14.4">
      <c r="A1799" s="186">
        <v>1798</v>
      </c>
      <c r="B1799" s="186" t="s">
        <v>536</v>
      </c>
      <c r="C1799" s="186" t="s">
        <v>2095</v>
      </c>
      <c r="D1799" s="186">
        <v>50.7</v>
      </c>
      <c r="E1799" s="186">
        <v>7.39</v>
      </c>
      <c r="F1799" s="186">
        <v>7.3</v>
      </c>
      <c r="G1799" s="186">
        <v>4.092554196</v>
      </c>
    </row>
    <row r="1800" spans="1:7" ht="14.4">
      <c r="A1800" s="186">
        <v>1799</v>
      </c>
      <c r="B1800" s="186" t="s">
        <v>373</v>
      </c>
      <c r="C1800" s="186" t="s">
        <v>2096</v>
      </c>
      <c r="D1800" s="186">
        <v>257.5</v>
      </c>
      <c r="E1800" s="186">
        <v>7.63</v>
      </c>
      <c r="F1800" s="186">
        <v>7.3</v>
      </c>
      <c r="G1800" s="186">
        <v>4.092554196</v>
      </c>
    </row>
    <row r="1801" spans="1:7" ht="14.4">
      <c r="A1801" s="186">
        <v>1800</v>
      </c>
      <c r="B1801" s="186" t="s">
        <v>415</v>
      </c>
      <c r="C1801" s="186" t="s">
        <v>2097</v>
      </c>
      <c r="D1801" s="186">
        <v>112.7</v>
      </c>
      <c r="E1801" s="186">
        <v>7.54</v>
      </c>
      <c r="F1801" s="186">
        <v>7.3</v>
      </c>
      <c r="G1801" s="186">
        <v>4.092554196</v>
      </c>
    </row>
    <row r="1802" spans="1:7" ht="14.4">
      <c r="A1802" s="186">
        <v>1801</v>
      </c>
      <c r="B1802" s="186" t="s">
        <v>184</v>
      </c>
      <c r="C1802" s="186" t="s">
        <v>2098</v>
      </c>
      <c r="D1802" s="187">
        <v>4113.5</v>
      </c>
      <c r="E1802" s="186">
        <v>7.59</v>
      </c>
      <c r="F1802" s="186">
        <v>7.3</v>
      </c>
      <c r="G1802" s="186">
        <v>4.092554196</v>
      </c>
    </row>
    <row r="1803" spans="1:7" ht="14.4">
      <c r="A1803" s="186">
        <v>1802</v>
      </c>
      <c r="B1803" s="186" t="s">
        <v>340</v>
      </c>
      <c r="C1803" s="186" t="s">
        <v>2099</v>
      </c>
      <c r="D1803" s="186">
        <v>18.399999999999999</v>
      </c>
      <c r="E1803" s="186">
        <v>7.33</v>
      </c>
      <c r="F1803" s="186">
        <v>7.3</v>
      </c>
      <c r="G1803" s="186">
        <v>4.092554196</v>
      </c>
    </row>
    <row r="1804" spans="1:7" ht="14.4">
      <c r="A1804" s="186">
        <v>1803</v>
      </c>
      <c r="B1804" s="186" t="s">
        <v>712</v>
      </c>
      <c r="C1804" s="186" t="s">
        <v>2100</v>
      </c>
      <c r="D1804" s="187">
        <v>2932.7</v>
      </c>
      <c r="E1804" s="186">
        <v>7.72</v>
      </c>
      <c r="F1804" s="186">
        <v>7.31</v>
      </c>
      <c r="G1804" s="186">
        <v>4.1001892</v>
      </c>
    </row>
    <row r="1805" spans="1:7" ht="14.4">
      <c r="A1805" s="186">
        <v>1804</v>
      </c>
      <c r="B1805" s="186" t="s">
        <v>2101</v>
      </c>
      <c r="C1805" s="186" t="s">
        <v>2102</v>
      </c>
      <c r="D1805" s="187">
        <v>1003.4</v>
      </c>
      <c r="E1805" s="186">
        <v>7.65</v>
      </c>
      <c r="F1805" s="186">
        <v>7.31</v>
      </c>
      <c r="G1805" s="186">
        <v>4.1001892</v>
      </c>
    </row>
    <row r="1806" spans="1:7" ht="14.4">
      <c r="A1806" s="186">
        <v>1805</v>
      </c>
      <c r="B1806" s="186" t="s">
        <v>488</v>
      </c>
      <c r="C1806" s="186" t="s">
        <v>2103</v>
      </c>
      <c r="D1806" s="186">
        <v>744.9</v>
      </c>
      <c r="E1806" s="186">
        <v>7.68</v>
      </c>
      <c r="F1806" s="186">
        <v>7.31</v>
      </c>
      <c r="G1806" s="186">
        <v>4.1001892</v>
      </c>
    </row>
    <row r="1807" spans="1:7" ht="14.4">
      <c r="A1807" s="186">
        <v>1806</v>
      </c>
      <c r="B1807" s="186" t="s">
        <v>571</v>
      </c>
      <c r="C1807" s="186" t="s">
        <v>2104</v>
      </c>
      <c r="D1807" s="186">
        <v>25.2</v>
      </c>
      <c r="E1807" s="186">
        <v>7.7</v>
      </c>
      <c r="F1807" s="186">
        <v>7.32</v>
      </c>
      <c r="G1807" s="186">
        <v>4.1078377340000003</v>
      </c>
    </row>
    <row r="1808" spans="1:7" ht="14.4">
      <c r="A1808" s="186">
        <v>1807</v>
      </c>
      <c r="B1808" s="186" t="s">
        <v>271</v>
      </c>
      <c r="C1808" s="186" t="s">
        <v>2105</v>
      </c>
      <c r="D1808" s="186">
        <v>0.6</v>
      </c>
      <c r="E1808" s="186">
        <v>7.56</v>
      </c>
      <c r="F1808" s="186">
        <v>7.32</v>
      </c>
      <c r="G1808" s="186">
        <v>4.1078377340000003</v>
      </c>
    </row>
    <row r="1809" spans="1:7" ht="14.4">
      <c r="A1809" s="186">
        <v>1808</v>
      </c>
      <c r="B1809" s="186" t="s">
        <v>226</v>
      </c>
      <c r="C1809" s="186" t="s">
        <v>2106</v>
      </c>
      <c r="D1809" s="186">
        <v>262.5</v>
      </c>
      <c r="E1809" s="186">
        <v>7.54</v>
      </c>
      <c r="F1809" s="186">
        <v>7.32</v>
      </c>
      <c r="G1809" s="186">
        <v>4.1078377340000003</v>
      </c>
    </row>
    <row r="1810" spans="1:7" ht="14.4">
      <c r="A1810" s="186">
        <v>1809</v>
      </c>
      <c r="B1810" s="186" t="s">
        <v>1390</v>
      </c>
      <c r="C1810" s="186" t="s">
        <v>2107</v>
      </c>
      <c r="D1810" s="186">
        <v>272</v>
      </c>
      <c r="E1810" s="186">
        <v>7.63</v>
      </c>
      <c r="F1810" s="186">
        <v>7.32</v>
      </c>
      <c r="G1810" s="186">
        <v>4.1078377340000003</v>
      </c>
    </row>
    <row r="1811" spans="1:7" ht="14.4">
      <c r="A1811" s="186">
        <v>1810</v>
      </c>
      <c r="B1811" s="186" t="s">
        <v>834</v>
      </c>
      <c r="C1811" s="186" t="s">
        <v>2108</v>
      </c>
      <c r="D1811" s="186">
        <v>61.5</v>
      </c>
      <c r="E1811" s="186">
        <v>7.22</v>
      </c>
      <c r="F1811" s="186">
        <v>7.32</v>
      </c>
      <c r="G1811" s="186">
        <v>4.1078377340000003</v>
      </c>
    </row>
    <row r="1812" spans="1:7" ht="14.4">
      <c r="A1812" s="186">
        <v>1811</v>
      </c>
      <c r="B1812" s="186" t="s">
        <v>213</v>
      </c>
      <c r="C1812" s="186" t="s">
        <v>2109</v>
      </c>
      <c r="D1812" s="186">
        <v>113.1</v>
      </c>
      <c r="E1812" s="186">
        <v>7.52</v>
      </c>
      <c r="F1812" s="186">
        <v>7.32</v>
      </c>
      <c r="G1812" s="186">
        <v>4.1078377340000003</v>
      </c>
    </row>
    <row r="1813" spans="1:7" ht="14.4">
      <c r="A1813" s="186">
        <v>1812</v>
      </c>
      <c r="B1813" s="186" t="s">
        <v>252</v>
      </c>
      <c r="C1813" s="186" t="s">
        <v>2110</v>
      </c>
      <c r="D1813" s="186">
        <v>87.2</v>
      </c>
      <c r="E1813" s="186">
        <v>7.65</v>
      </c>
      <c r="F1813" s="186">
        <v>7.33</v>
      </c>
      <c r="G1813" s="186">
        <v>4.1154998220000003</v>
      </c>
    </row>
    <row r="1814" spans="1:7" ht="14.4">
      <c r="A1814" s="186">
        <v>1813</v>
      </c>
      <c r="B1814" s="186" t="s">
        <v>210</v>
      </c>
      <c r="C1814" s="186" t="s">
        <v>2111</v>
      </c>
      <c r="D1814" s="186">
        <v>37.200000000000003</v>
      </c>
      <c r="E1814" s="186">
        <v>7.73</v>
      </c>
      <c r="F1814" s="186">
        <v>7.33</v>
      </c>
      <c r="G1814" s="186">
        <v>4.1154998220000003</v>
      </c>
    </row>
    <row r="1815" spans="1:7" ht="14.4">
      <c r="A1815" s="186">
        <v>1814</v>
      </c>
      <c r="B1815" s="186" t="s">
        <v>2112</v>
      </c>
      <c r="C1815" s="186" t="s">
        <v>2113</v>
      </c>
      <c r="D1815" s="187">
        <v>3443.3</v>
      </c>
      <c r="E1815" s="186">
        <v>7.55</v>
      </c>
      <c r="F1815" s="186">
        <v>7.33</v>
      </c>
      <c r="G1815" s="186">
        <v>4.1154998220000003</v>
      </c>
    </row>
    <row r="1816" spans="1:7" ht="14.4">
      <c r="A1816" s="186">
        <v>1815</v>
      </c>
      <c r="B1816" s="186" t="s">
        <v>1499</v>
      </c>
      <c r="C1816" s="186" t="s">
        <v>2114</v>
      </c>
      <c r="D1816" s="186">
        <v>522.79999999999995</v>
      </c>
      <c r="E1816" s="186">
        <v>7.5</v>
      </c>
      <c r="F1816" s="186">
        <v>7.33</v>
      </c>
      <c r="G1816" s="186">
        <v>4.1154998220000003</v>
      </c>
    </row>
    <row r="1817" spans="1:7" ht="14.4">
      <c r="A1817" s="186">
        <v>1816</v>
      </c>
      <c r="B1817" s="186" t="s">
        <v>1828</v>
      </c>
      <c r="C1817" s="186" t="s">
        <v>2115</v>
      </c>
      <c r="D1817" s="186">
        <v>507</v>
      </c>
      <c r="E1817" s="186">
        <v>7.36</v>
      </c>
      <c r="F1817" s="186">
        <v>7.34</v>
      </c>
      <c r="G1817" s="186">
        <v>4.123175485</v>
      </c>
    </row>
    <row r="1818" spans="1:7" ht="14.4">
      <c r="A1818" s="186">
        <v>1817</v>
      </c>
      <c r="B1818" s="186" t="s">
        <v>124</v>
      </c>
      <c r="C1818" s="186" t="s">
        <v>2116</v>
      </c>
      <c r="D1818" s="187">
        <v>1225.4000000000001</v>
      </c>
      <c r="E1818" s="186">
        <v>7.5</v>
      </c>
      <c r="F1818" s="186">
        <v>7.34</v>
      </c>
      <c r="G1818" s="186">
        <v>4.123175485</v>
      </c>
    </row>
    <row r="1819" spans="1:7" ht="14.4">
      <c r="A1819" s="186">
        <v>1818</v>
      </c>
      <c r="B1819" s="186" t="s">
        <v>303</v>
      </c>
      <c r="C1819" s="186" t="s">
        <v>2117</v>
      </c>
      <c r="D1819" s="186">
        <v>105.6</v>
      </c>
      <c r="E1819" s="186">
        <v>7.51</v>
      </c>
      <c r="F1819" s="186">
        <v>7.34</v>
      </c>
      <c r="G1819" s="186">
        <v>4.123175485</v>
      </c>
    </row>
    <row r="1820" spans="1:7" ht="14.4">
      <c r="A1820" s="186">
        <v>1819</v>
      </c>
      <c r="B1820" s="186" t="s">
        <v>153</v>
      </c>
      <c r="C1820" s="186" t="s">
        <v>2118</v>
      </c>
      <c r="D1820" s="187">
        <v>1613.3</v>
      </c>
      <c r="E1820" s="186">
        <v>7.5</v>
      </c>
      <c r="F1820" s="186">
        <v>7.34</v>
      </c>
      <c r="G1820" s="186">
        <v>4.123175485</v>
      </c>
    </row>
    <row r="1821" spans="1:7" ht="14.4">
      <c r="A1821" s="186">
        <v>1820</v>
      </c>
      <c r="B1821" s="186" t="s">
        <v>365</v>
      </c>
      <c r="C1821" s="186" t="s">
        <v>2119</v>
      </c>
      <c r="D1821" s="186">
        <v>29.6</v>
      </c>
      <c r="E1821" s="186">
        <v>7.5</v>
      </c>
      <c r="F1821" s="186">
        <v>7.34</v>
      </c>
      <c r="G1821" s="186">
        <v>4.123175485</v>
      </c>
    </row>
    <row r="1822" spans="1:7" ht="14.4">
      <c r="A1822" s="186">
        <v>1821</v>
      </c>
      <c r="B1822" s="186" t="s">
        <v>210</v>
      </c>
      <c r="C1822" s="186" t="s">
        <v>2120</v>
      </c>
      <c r="D1822" s="186">
        <v>48.1</v>
      </c>
      <c r="E1822" s="186">
        <v>7.39</v>
      </c>
      <c r="F1822" s="186">
        <v>7.34</v>
      </c>
      <c r="G1822" s="186">
        <v>4.123175485</v>
      </c>
    </row>
    <row r="1823" spans="1:7" ht="14.4">
      <c r="A1823" s="186">
        <v>1822</v>
      </c>
      <c r="B1823" s="186" t="s">
        <v>288</v>
      </c>
      <c r="C1823" s="186" t="s">
        <v>2121</v>
      </c>
      <c r="D1823" s="186">
        <v>16.3</v>
      </c>
      <c r="E1823" s="186">
        <v>7.67</v>
      </c>
      <c r="F1823" s="186">
        <v>7.34</v>
      </c>
      <c r="G1823" s="186">
        <v>4.123175485</v>
      </c>
    </row>
    <row r="1824" spans="1:7" ht="14.4">
      <c r="A1824" s="186">
        <v>1823</v>
      </c>
      <c r="B1824" s="186" t="s">
        <v>187</v>
      </c>
      <c r="C1824" s="186" t="s">
        <v>2122</v>
      </c>
      <c r="D1824" s="187">
        <v>3644.2</v>
      </c>
      <c r="E1824" s="186">
        <v>7.47</v>
      </c>
      <c r="F1824" s="186">
        <v>7.34</v>
      </c>
      <c r="G1824" s="186">
        <v>4.123175485</v>
      </c>
    </row>
    <row r="1825" spans="1:7" ht="14.4">
      <c r="A1825" s="186">
        <v>1824</v>
      </c>
      <c r="B1825" s="186" t="s">
        <v>138</v>
      </c>
      <c r="C1825" s="186" t="s">
        <v>2123</v>
      </c>
      <c r="D1825" s="186">
        <v>10.4</v>
      </c>
      <c r="E1825" s="186">
        <v>7.41</v>
      </c>
      <c r="F1825" s="186">
        <v>7.35</v>
      </c>
      <c r="G1825" s="186">
        <v>4.1308647460000003</v>
      </c>
    </row>
    <row r="1826" spans="1:7" ht="14.4">
      <c r="A1826" s="186">
        <v>1825</v>
      </c>
      <c r="B1826" s="186" t="s">
        <v>271</v>
      </c>
      <c r="C1826" s="186" t="s">
        <v>2124</v>
      </c>
      <c r="D1826" s="187">
        <v>2540.6999999999998</v>
      </c>
      <c r="E1826" s="186">
        <v>7.59</v>
      </c>
      <c r="F1826" s="186">
        <v>7.35</v>
      </c>
      <c r="G1826" s="186">
        <v>4.1308647460000003</v>
      </c>
    </row>
    <row r="1827" spans="1:7" ht="14.4">
      <c r="A1827" s="186">
        <v>1826</v>
      </c>
      <c r="B1827" s="186" t="s">
        <v>122</v>
      </c>
      <c r="C1827" s="186" t="s">
        <v>2125</v>
      </c>
      <c r="D1827" s="186">
        <v>518</v>
      </c>
      <c r="E1827" s="186">
        <v>8.2799999999999994</v>
      </c>
      <c r="F1827" s="186">
        <v>7.35</v>
      </c>
      <c r="G1827" s="186">
        <v>4.1308647460000003</v>
      </c>
    </row>
    <row r="1828" spans="1:7" ht="14.4">
      <c r="A1828" s="186">
        <v>1827</v>
      </c>
      <c r="B1828" s="186" t="s">
        <v>133</v>
      </c>
      <c r="C1828" s="186" t="s">
        <v>2126</v>
      </c>
      <c r="D1828" s="186">
        <v>805</v>
      </c>
      <c r="E1828" s="186">
        <v>7.66</v>
      </c>
      <c r="F1828" s="186">
        <v>7.35</v>
      </c>
      <c r="G1828" s="186">
        <v>4.1308647460000003</v>
      </c>
    </row>
    <row r="1829" spans="1:7" ht="14.4">
      <c r="A1829" s="186">
        <v>1828</v>
      </c>
      <c r="B1829" s="186" t="s">
        <v>288</v>
      </c>
      <c r="C1829" s="186" t="s">
        <v>2127</v>
      </c>
      <c r="D1829" s="186">
        <v>18.600000000000001</v>
      </c>
      <c r="E1829" s="186">
        <v>7.69</v>
      </c>
      <c r="F1829" s="186">
        <v>7.35</v>
      </c>
      <c r="G1829" s="186">
        <v>4.1308647460000003</v>
      </c>
    </row>
    <row r="1830" spans="1:7" ht="14.4">
      <c r="A1830" s="186">
        <v>1829</v>
      </c>
      <c r="B1830" s="186" t="s">
        <v>118</v>
      </c>
      <c r="C1830" s="186" t="s">
        <v>2128</v>
      </c>
      <c r="D1830" s="186">
        <v>15.1</v>
      </c>
      <c r="E1830" s="186">
        <v>7.54</v>
      </c>
      <c r="F1830" s="186">
        <v>7.35</v>
      </c>
      <c r="G1830" s="186">
        <v>4.1308647460000003</v>
      </c>
    </row>
    <row r="1831" spans="1:7" ht="14.4">
      <c r="A1831" s="186">
        <v>1830</v>
      </c>
      <c r="B1831" s="186" t="s">
        <v>280</v>
      </c>
      <c r="C1831" s="186" t="s">
        <v>2129</v>
      </c>
      <c r="D1831" s="186">
        <v>75.099999999999994</v>
      </c>
      <c r="E1831" s="186">
        <v>7.64</v>
      </c>
      <c r="F1831" s="186">
        <v>7.35</v>
      </c>
      <c r="G1831" s="186">
        <v>4.1308647460000003</v>
      </c>
    </row>
    <row r="1832" spans="1:7" ht="14.4">
      <c r="A1832" s="186">
        <v>1831</v>
      </c>
      <c r="B1832" s="186" t="s">
        <v>340</v>
      </c>
      <c r="C1832" s="186" t="s">
        <v>2130</v>
      </c>
      <c r="D1832" s="186">
        <v>147.4</v>
      </c>
      <c r="E1832" s="186">
        <v>7.48</v>
      </c>
      <c r="F1832" s="186">
        <v>7.35</v>
      </c>
      <c r="G1832" s="186">
        <v>4.1308647460000003</v>
      </c>
    </row>
    <row r="1833" spans="1:7" ht="14.4">
      <c r="A1833" s="186">
        <v>1832</v>
      </c>
      <c r="B1833" s="186" t="s">
        <v>422</v>
      </c>
      <c r="C1833" s="186" t="s">
        <v>2131</v>
      </c>
      <c r="D1833" s="186">
        <v>509.5</v>
      </c>
      <c r="E1833" s="186">
        <v>7.23</v>
      </c>
      <c r="F1833" s="186">
        <v>7.36</v>
      </c>
      <c r="G1833" s="186">
        <v>4.1385676289999997</v>
      </c>
    </row>
    <row r="1834" spans="1:7" ht="14.4">
      <c r="A1834" s="186">
        <v>1833</v>
      </c>
      <c r="B1834" s="186" t="s">
        <v>126</v>
      </c>
      <c r="C1834" s="186" t="s">
        <v>2132</v>
      </c>
      <c r="D1834" s="187">
        <v>22656.3</v>
      </c>
      <c r="E1834" s="186">
        <v>7.73</v>
      </c>
      <c r="F1834" s="186">
        <v>7.36</v>
      </c>
      <c r="G1834" s="186">
        <v>4.1385676289999997</v>
      </c>
    </row>
    <row r="1835" spans="1:7" ht="14.4">
      <c r="A1835" s="186">
        <v>1834</v>
      </c>
      <c r="B1835" s="186" t="s">
        <v>146</v>
      </c>
      <c r="C1835" s="186" t="s">
        <v>2133</v>
      </c>
      <c r="D1835" s="186">
        <v>91.8</v>
      </c>
      <c r="E1835" s="186">
        <v>7.36</v>
      </c>
      <c r="F1835" s="186">
        <v>7.36</v>
      </c>
      <c r="G1835" s="186">
        <v>4.1385676289999997</v>
      </c>
    </row>
    <row r="1836" spans="1:7" ht="14.4">
      <c r="A1836" s="186">
        <v>1835</v>
      </c>
      <c r="B1836" s="186" t="s">
        <v>553</v>
      </c>
      <c r="C1836" s="186" t="s">
        <v>2134</v>
      </c>
      <c r="D1836" s="187">
        <v>1560.2</v>
      </c>
      <c r="E1836" s="186">
        <v>7.92</v>
      </c>
      <c r="F1836" s="186">
        <v>7.36</v>
      </c>
      <c r="G1836" s="186">
        <v>4.1385676289999997</v>
      </c>
    </row>
    <row r="1837" spans="1:7" ht="14.4">
      <c r="A1837" s="186">
        <v>1836</v>
      </c>
      <c r="B1837" s="186" t="s">
        <v>1556</v>
      </c>
      <c r="C1837" s="186" t="s">
        <v>2135</v>
      </c>
      <c r="D1837" s="186">
        <v>235.1</v>
      </c>
      <c r="E1837" s="186">
        <v>7.46</v>
      </c>
      <c r="F1837" s="186">
        <v>7.36</v>
      </c>
      <c r="G1837" s="186">
        <v>4.1385676289999997</v>
      </c>
    </row>
    <row r="1838" spans="1:7" ht="14.4">
      <c r="A1838" s="186">
        <v>1837</v>
      </c>
      <c r="B1838" s="186" t="s">
        <v>213</v>
      </c>
      <c r="C1838" s="186" t="s">
        <v>2136</v>
      </c>
      <c r="D1838" s="186">
        <v>5.6</v>
      </c>
      <c r="E1838" s="186">
        <v>7.27</v>
      </c>
      <c r="F1838" s="186">
        <v>7.36</v>
      </c>
      <c r="G1838" s="186">
        <v>4.1385676289999997</v>
      </c>
    </row>
    <row r="1839" spans="1:7" ht="14.4">
      <c r="A1839" s="186">
        <v>1838</v>
      </c>
      <c r="B1839" s="186" t="s">
        <v>827</v>
      </c>
      <c r="C1839" s="186" t="s">
        <v>2137</v>
      </c>
      <c r="D1839" s="186">
        <v>284.8</v>
      </c>
      <c r="E1839" s="186">
        <v>7.55</v>
      </c>
      <c r="F1839" s="186">
        <v>7.36</v>
      </c>
      <c r="G1839" s="186">
        <v>4.1385676289999997</v>
      </c>
    </row>
    <row r="1840" spans="1:7" ht="14.4">
      <c r="A1840" s="186">
        <v>1839</v>
      </c>
      <c r="B1840" s="186" t="s">
        <v>1168</v>
      </c>
      <c r="C1840" s="186" t="s">
        <v>2138</v>
      </c>
      <c r="D1840" s="186">
        <v>0.6</v>
      </c>
      <c r="E1840" s="186">
        <v>7.59</v>
      </c>
      <c r="F1840" s="186">
        <v>7.37</v>
      </c>
      <c r="G1840" s="186">
        <v>4.1462841560000001</v>
      </c>
    </row>
    <row r="1841" spans="1:7" ht="14.4">
      <c r="A1841" s="186">
        <v>1840</v>
      </c>
      <c r="B1841" s="186" t="s">
        <v>1228</v>
      </c>
      <c r="C1841" s="186" t="s">
        <v>2139</v>
      </c>
      <c r="D1841" s="186">
        <v>856.2</v>
      </c>
      <c r="E1841" s="186">
        <v>7.25</v>
      </c>
      <c r="F1841" s="186">
        <v>7.37</v>
      </c>
      <c r="G1841" s="186">
        <v>4.1462841560000001</v>
      </c>
    </row>
    <row r="1842" spans="1:7" ht="14.4">
      <c r="A1842" s="186">
        <v>1841</v>
      </c>
      <c r="B1842" s="186" t="s">
        <v>373</v>
      </c>
      <c r="C1842" s="186" t="s">
        <v>2140</v>
      </c>
      <c r="D1842" s="187">
        <v>1608.1</v>
      </c>
      <c r="E1842" s="186">
        <v>7.65</v>
      </c>
      <c r="F1842" s="186">
        <v>7.37</v>
      </c>
      <c r="G1842" s="186">
        <v>4.1462841560000001</v>
      </c>
    </row>
    <row r="1843" spans="1:7" ht="14.4">
      <c r="A1843" s="186">
        <v>1842</v>
      </c>
      <c r="B1843" s="186" t="s">
        <v>477</v>
      </c>
      <c r="C1843" s="186" t="s">
        <v>2141</v>
      </c>
      <c r="D1843" s="186">
        <v>629.79999999999995</v>
      </c>
      <c r="E1843" s="186">
        <v>7.31</v>
      </c>
      <c r="F1843" s="186">
        <v>7.37</v>
      </c>
      <c r="G1843" s="186">
        <v>4.1462841560000001</v>
      </c>
    </row>
    <row r="1844" spans="1:7" ht="14.4">
      <c r="A1844" s="186">
        <v>1843</v>
      </c>
      <c r="B1844" s="186" t="s">
        <v>801</v>
      </c>
      <c r="C1844" s="186" t="s">
        <v>2142</v>
      </c>
      <c r="D1844" s="186">
        <v>675.4</v>
      </c>
      <c r="E1844" s="186">
        <v>7.63</v>
      </c>
      <c r="F1844" s="186">
        <v>7.37</v>
      </c>
      <c r="G1844" s="186">
        <v>4.1462841560000001</v>
      </c>
    </row>
    <row r="1845" spans="1:7" ht="14.4">
      <c r="A1845" s="186">
        <v>1844</v>
      </c>
      <c r="B1845" s="186" t="s">
        <v>2143</v>
      </c>
      <c r="C1845" s="186" t="s">
        <v>2144</v>
      </c>
      <c r="D1845" s="186">
        <v>130.6</v>
      </c>
      <c r="E1845" s="186">
        <v>7.59</v>
      </c>
      <c r="F1845" s="186">
        <v>7.37</v>
      </c>
      <c r="G1845" s="186">
        <v>4.1462841560000001</v>
      </c>
    </row>
    <row r="1846" spans="1:7" ht="14.4">
      <c r="A1846" s="186">
        <v>1845</v>
      </c>
      <c r="B1846" s="186" t="s">
        <v>213</v>
      </c>
      <c r="C1846" s="186" t="s">
        <v>2145</v>
      </c>
      <c r="D1846" s="186">
        <v>24.1</v>
      </c>
      <c r="E1846" s="186">
        <v>7.28</v>
      </c>
      <c r="F1846" s="186">
        <v>7.37</v>
      </c>
      <c r="G1846" s="186">
        <v>4.1462841560000001</v>
      </c>
    </row>
    <row r="1847" spans="1:7" ht="14.4">
      <c r="A1847" s="186">
        <v>1846</v>
      </c>
      <c r="B1847" s="186" t="s">
        <v>241</v>
      </c>
      <c r="C1847" s="186" t="s">
        <v>2146</v>
      </c>
      <c r="D1847" s="186">
        <v>79.3</v>
      </c>
      <c r="E1847" s="186">
        <v>7.26</v>
      </c>
      <c r="F1847" s="186">
        <v>7.38</v>
      </c>
      <c r="G1847" s="186">
        <v>4.1540143509999998</v>
      </c>
    </row>
    <row r="1848" spans="1:7" ht="14.4">
      <c r="A1848" s="186">
        <v>1847</v>
      </c>
      <c r="B1848" s="186" t="s">
        <v>1228</v>
      </c>
      <c r="C1848" s="186" t="s">
        <v>2147</v>
      </c>
      <c r="D1848" s="186">
        <v>672.8</v>
      </c>
      <c r="E1848" s="186">
        <v>7.58</v>
      </c>
      <c r="F1848" s="186">
        <v>7.38</v>
      </c>
      <c r="G1848" s="186">
        <v>4.1540143509999998</v>
      </c>
    </row>
    <row r="1849" spans="1:7" ht="14.4">
      <c r="A1849" s="186">
        <v>1848</v>
      </c>
      <c r="B1849" s="186" t="s">
        <v>178</v>
      </c>
      <c r="C1849" s="186" t="s">
        <v>2148</v>
      </c>
      <c r="D1849" s="186">
        <v>6.2</v>
      </c>
      <c r="E1849" s="186">
        <v>7.62</v>
      </c>
      <c r="F1849" s="186">
        <v>7.38</v>
      </c>
      <c r="G1849" s="186">
        <v>4.1540143509999998</v>
      </c>
    </row>
    <row r="1850" spans="1:7" ht="14.4">
      <c r="A1850" s="186">
        <v>1849</v>
      </c>
      <c r="B1850" s="186" t="s">
        <v>415</v>
      </c>
      <c r="C1850" s="186" t="s">
        <v>2149</v>
      </c>
      <c r="D1850" s="186">
        <v>697.8</v>
      </c>
      <c r="E1850" s="186">
        <v>7.23</v>
      </c>
      <c r="F1850" s="186">
        <v>7.38</v>
      </c>
      <c r="G1850" s="186">
        <v>4.1540143509999998</v>
      </c>
    </row>
    <row r="1851" spans="1:7" ht="14.4">
      <c r="A1851" s="186">
        <v>1850</v>
      </c>
      <c r="B1851" s="186" t="s">
        <v>415</v>
      </c>
      <c r="C1851" s="186" t="s">
        <v>2150</v>
      </c>
      <c r="D1851" s="186">
        <v>694.9</v>
      </c>
      <c r="E1851" s="186">
        <v>7.5</v>
      </c>
      <c r="F1851" s="186">
        <v>7.38</v>
      </c>
      <c r="G1851" s="186">
        <v>4.1540143509999998</v>
      </c>
    </row>
    <row r="1852" spans="1:7" ht="14.4">
      <c r="A1852" s="186">
        <v>1851</v>
      </c>
      <c r="B1852" s="186" t="s">
        <v>187</v>
      </c>
      <c r="C1852" s="186" t="s">
        <v>2151</v>
      </c>
      <c r="D1852" s="186">
        <v>636.29999999999995</v>
      </c>
      <c r="E1852" s="186">
        <v>7.29</v>
      </c>
      <c r="F1852" s="186">
        <v>7.38</v>
      </c>
      <c r="G1852" s="186">
        <v>4.1540143509999998</v>
      </c>
    </row>
    <row r="1853" spans="1:7" ht="14.4">
      <c r="A1853" s="186">
        <v>1852</v>
      </c>
      <c r="B1853" s="186" t="s">
        <v>187</v>
      </c>
      <c r="C1853" s="186" t="s">
        <v>2152</v>
      </c>
      <c r="D1853" s="187">
        <v>1877.4</v>
      </c>
      <c r="E1853" s="186">
        <v>7.52</v>
      </c>
      <c r="F1853" s="186">
        <v>7.38</v>
      </c>
      <c r="G1853" s="186">
        <v>4.1540143509999998</v>
      </c>
    </row>
    <row r="1854" spans="1:7" ht="14.4">
      <c r="A1854" s="186">
        <v>1853</v>
      </c>
      <c r="B1854" s="186" t="s">
        <v>1228</v>
      </c>
      <c r="C1854" s="186" t="s">
        <v>2153</v>
      </c>
      <c r="D1854" s="186">
        <v>132.69999999999999</v>
      </c>
      <c r="E1854" s="186">
        <v>7.63</v>
      </c>
      <c r="F1854" s="186">
        <v>7.39</v>
      </c>
      <c r="G1854" s="186">
        <v>4.1617582349999998</v>
      </c>
    </row>
    <row r="1855" spans="1:7" ht="14.4">
      <c r="A1855" s="186">
        <v>1854</v>
      </c>
      <c r="B1855" s="186" t="s">
        <v>400</v>
      </c>
      <c r="C1855" s="186" t="s">
        <v>2154</v>
      </c>
      <c r="D1855" s="186">
        <v>327.39999999999998</v>
      </c>
      <c r="E1855" s="186">
        <v>7.76</v>
      </c>
      <c r="F1855" s="186">
        <v>7.39</v>
      </c>
      <c r="G1855" s="186">
        <v>4.1617582349999998</v>
      </c>
    </row>
    <row r="1856" spans="1:7" ht="14.4">
      <c r="A1856" s="186">
        <v>1855</v>
      </c>
      <c r="B1856" s="186" t="s">
        <v>263</v>
      </c>
      <c r="C1856" s="186" t="s">
        <v>2155</v>
      </c>
      <c r="D1856" s="186">
        <v>231.4</v>
      </c>
      <c r="E1856" s="186">
        <v>7.74</v>
      </c>
      <c r="F1856" s="186">
        <v>7.39</v>
      </c>
      <c r="G1856" s="186">
        <v>4.1617582349999998</v>
      </c>
    </row>
    <row r="1857" spans="1:7" ht="14.4">
      <c r="A1857" s="186">
        <v>1856</v>
      </c>
      <c r="B1857" s="186" t="s">
        <v>146</v>
      </c>
      <c r="C1857" s="186" t="s">
        <v>2156</v>
      </c>
      <c r="D1857" s="186">
        <v>859.8</v>
      </c>
      <c r="E1857" s="186">
        <v>7.39</v>
      </c>
      <c r="F1857" s="186">
        <v>7.39</v>
      </c>
      <c r="G1857" s="186">
        <v>4.1617582349999998</v>
      </c>
    </row>
    <row r="1858" spans="1:7" ht="14.4">
      <c r="A1858" s="186">
        <v>1857</v>
      </c>
      <c r="B1858" s="186" t="s">
        <v>373</v>
      </c>
      <c r="C1858" s="186" t="s">
        <v>2157</v>
      </c>
      <c r="D1858" s="186">
        <v>23.8</v>
      </c>
      <c r="E1858" s="186">
        <v>7.65</v>
      </c>
      <c r="F1858" s="186">
        <v>7.39</v>
      </c>
      <c r="G1858" s="186">
        <v>4.1617582349999998</v>
      </c>
    </row>
    <row r="1859" spans="1:7" ht="14.4">
      <c r="A1859" s="186">
        <v>1858</v>
      </c>
      <c r="B1859" s="186" t="s">
        <v>307</v>
      </c>
      <c r="C1859" s="186" t="s">
        <v>2158</v>
      </c>
      <c r="D1859" s="186">
        <v>620.29999999999995</v>
      </c>
      <c r="E1859" s="186">
        <v>6.73</v>
      </c>
      <c r="F1859" s="186">
        <v>7.39</v>
      </c>
      <c r="G1859" s="186">
        <v>4.1617582349999998</v>
      </c>
    </row>
    <row r="1860" spans="1:7" ht="14.4">
      <c r="A1860" s="186">
        <v>1859</v>
      </c>
      <c r="B1860" s="186" t="s">
        <v>415</v>
      </c>
      <c r="C1860" s="186" t="s">
        <v>2159</v>
      </c>
      <c r="D1860" s="186">
        <v>50.9</v>
      </c>
      <c r="E1860" s="186">
        <v>7.51</v>
      </c>
      <c r="F1860" s="186">
        <v>7.39</v>
      </c>
      <c r="G1860" s="186">
        <v>4.1617582349999998</v>
      </c>
    </row>
    <row r="1861" spans="1:7" ht="14.4">
      <c r="A1861" s="186">
        <v>1860</v>
      </c>
      <c r="B1861" s="186" t="s">
        <v>2160</v>
      </c>
      <c r="C1861" s="186" t="s">
        <v>2161</v>
      </c>
      <c r="D1861" s="187">
        <v>1426.9</v>
      </c>
      <c r="E1861" s="186">
        <v>7.76</v>
      </c>
      <c r="F1861" s="186">
        <v>7.39</v>
      </c>
      <c r="G1861" s="186">
        <v>4.1617582349999998</v>
      </c>
    </row>
    <row r="1862" spans="1:7" ht="14.4">
      <c r="A1862" s="186">
        <v>1861</v>
      </c>
      <c r="B1862" s="186" t="s">
        <v>1215</v>
      </c>
      <c r="C1862" s="186" t="s">
        <v>2162</v>
      </c>
      <c r="D1862" s="186">
        <v>25.1</v>
      </c>
      <c r="E1862" s="186">
        <v>7.68</v>
      </c>
      <c r="F1862" s="186">
        <v>7.39</v>
      </c>
      <c r="G1862" s="186">
        <v>4.1617582349999998</v>
      </c>
    </row>
    <row r="1863" spans="1:7" ht="14.4">
      <c r="A1863" s="186">
        <v>1862</v>
      </c>
      <c r="B1863" s="186" t="s">
        <v>1228</v>
      </c>
      <c r="C1863" s="186" t="s">
        <v>2163</v>
      </c>
      <c r="D1863" s="187">
        <v>1395.7</v>
      </c>
      <c r="E1863" s="186">
        <v>7.59</v>
      </c>
      <c r="F1863" s="186">
        <v>7.4</v>
      </c>
      <c r="G1863" s="186">
        <v>4.1695158320000001</v>
      </c>
    </row>
    <row r="1864" spans="1:7" ht="14.4">
      <c r="A1864" s="186">
        <v>1863</v>
      </c>
      <c r="B1864" s="186" t="s">
        <v>153</v>
      </c>
      <c r="C1864" s="186" t="s">
        <v>2164</v>
      </c>
      <c r="D1864" s="186">
        <v>858.7</v>
      </c>
      <c r="E1864" s="186">
        <v>7.36</v>
      </c>
      <c r="F1864" s="186">
        <v>7.4</v>
      </c>
      <c r="G1864" s="186">
        <v>4.1695158320000001</v>
      </c>
    </row>
    <row r="1865" spans="1:7" ht="14.4">
      <c r="A1865" s="186">
        <v>1864</v>
      </c>
      <c r="B1865" s="186" t="s">
        <v>553</v>
      </c>
      <c r="C1865" s="186" t="s">
        <v>2165</v>
      </c>
      <c r="D1865" s="187">
        <v>3018.1</v>
      </c>
      <c r="E1865" s="186">
        <v>7.96</v>
      </c>
      <c r="F1865" s="186">
        <v>7.4</v>
      </c>
      <c r="G1865" s="186">
        <v>4.1695158320000001</v>
      </c>
    </row>
    <row r="1866" spans="1:7" ht="14.4">
      <c r="A1866" s="186">
        <v>1865</v>
      </c>
      <c r="B1866" s="186" t="s">
        <v>553</v>
      </c>
      <c r="C1866" s="186" t="s">
        <v>2166</v>
      </c>
      <c r="D1866" s="186">
        <v>25.6</v>
      </c>
      <c r="E1866" s="186">
        <v>7.77</v>
      </c>
      <c r="F1866" s="186">
        <v>7.4</v>
      </c>
      <c r="G1866" s="186">
        <v>4.1695158320000001</v>
      </c>
    </row>
    <row r="1867" spans="1:7" ht="14.4">
      <c r="A1867" s="186">
        <v>1866</v>
      </c>
      <c r="B1867" s="186" t="s">
        <v>488</v>
      </c>
      <c r="C1867" s="186" t="s">
        <v>2167</v>
      </c>
      <c r="D1867" s="186">
        <v>852.9</v>
      </c>
      <c r="E1867" s="186">
        <v>7.77</v>
      </c>
      <c r="F1867" s="186">
        <v>7.4</v>
      </c>
      <c r="G1867" s="186">
        <v>4.1695158320000001</v>
      </c>
    </row>
    <row r="1868" spans="1:7" ht="14.4">
      <c r="A1868" s="186">
        <v>1867</v>
      </c>
      <c r="B1868" s="186" t="s">
        <v>1228</v>
      </c>
      <c r="C1868" s="186" t="s">
        <v>2168</v>
      </c>
      <c r="D1868" s="187">
        <v>54775.7</v>
      </c>
      <c r="E1868" s="186">
        <v>7.32</v>
      </c>
      <c r="F1868" s="186">
        <v>7.41</v>
      </c>
      <c r="G1868" s="186">
        <v>4.1772871660000002</v>
      </c>
    </row>
    <row r="1869" spans="1:7" ht="14.4">
      <c r="A1869" s="186">
        <v>1868</v>
      </c>
      <c r="B1869" s="186" t="s">
        <v>1228</v>
      </c>
      <c r="C1869" s="186" t="s">
        <v>2169</v>
      </c>
      <c r="D1869" s="187">
        <v>1295.9000000000001</v>
      </c>
      <c r="E1869" s="186">
        <v>7.65</v>
      </c>
      <c r="F1869" s="186">
        <v>7.41</v>
      </c>
      <c r="G1869" s="186">
        <v>4.1772871660000002</v>
      </c>
    </row>
    <row r="1870" spans="1:7" ht="14.4">
      <c r="A1870" s="186">
        <v>1869</v>
      </c>
      <c r="B1870" s="186" t="s">
        <v>712</v>
      </c>
      <c r="C1870" s="186" t="s">
        <v>2170</v>
      </c>
      <c r="D1870" s="186">
        <v>482</v>
      </c>
      <c r="E1870" s="186">
        <v>7.79</v>
      </c>
      <c r="F1870" s="186">
        <v>7.41</v>
      </c>
      <c r="G1870" s="186">
        <v>4.1772871660000002</v>
      </c>
    </row>
    <row r="1871" spans="1:7" ht="14.4">
      <c r="A1871" s="186">
        <v>1870</v>
      </c>
      <c r="B1871" s="186" t="s">
        <v>365</v>
      </c>
      <c r="C1871" s="186" t="s">
        <v>2171</v>
      </c>
      <c r="D1871" s="187">
        <v>3592.1</v>
      </c>
      <c r="E1871" s="186">
        <v>7.33</v>
      </c>
      <c r="F1871" s="186">
        <v>7.41</v>
      </c>
      <c r="G1871" s="186">
        <v>4.1772871660000002</v>
      </c>
    </row>
    <row r="1872" spans="1:7" ht="14.4">
      <c r="A1872" s="186">
        <v>1871</v>
      </c>
      <c r="B1872" s="186" t="s">
        <v>1228</v>
      </c>
      <c r="C1872" s="186" t="s">
        <v>2172</v>
      </c>
      <c r="D1872" s="186">
        <v>0.5</v>
      </c>
      <c r="E1872" s="186">
        <v>7.65</v>
      </c>
      <c r="F1872" s="186">
        <v>7.42</v>
      </c>
      <c r="G1872" s="186">
        <v>4.1850722579999999</v>
      </c>
    </row>
    <row r="1873" spans="1:7" ht="14.4">
      <c r="A1873" s="186">
        <v>1872</v>
      </c>
      <c r="B1873" s="186" t="s">
        <v>178</v>
      </c>
      <c r="C1873" s="186" t="s">
        <v>2173</v>
      </c>
      <c r="D1873" s="186">
        <v>564.5</v>
      </c>
      <c r="E1873" s="186">
        <v>7.67</v>
      </c>
      <c r="F1873" s="186">
        <v>7.42</v>
      </c>
      <c r="G1873" s="186">
        <v>4.1850722579999999</v>
      </c>
    </row>
    <row r="1874" spans="1:7" ht="14.4">
      <c r="A1874" s="186">
        <v>1873</v>
      </c>
      <c r="B1874" s="186" t="s">
        <v>178</v>
      </c>
      <c r="C1874" s="186" t="s">
        <v>2174</v>
      </c>
      <c r="D1874" s="187">
        <v>5637.2</v>
      </c>
      <c r="E1874" s="186">
        <v>7.67</v>
      </c>
      <c r="F1874" s="186">
        <v>7.42</v>
      </c>
      <c r="G1874" s="186">
        <v>4.1850722579999999</v>
      </c>
    </row>
    <row r="1875" spans="1:7" ht="14.4">
      <c r="A1875" s="186">
        <v>1874</v>
      </c>
      <c r="B1875" s="186" t="s">
        <v>303</v>
      </c>
      <c r="C1875" s="186" t="s">
        <v>2175</v>
      </c>
      <c r="D1875" s="186">
        <v>754.3</v>
      </c>
      <c r="E1875" s="186">
        <v>7.87</v>
      </c>
      <c r="F1875" s="186">
        <v>7.42</v>
      </c>
      <c r="G1875" s="186">
        <v>4.1850722579999999</v>
      </c>
    </row>
    <row r="1876" spans="1:7" ht="14.4">
      <c r="A1876" s="186">
        <v>1875</v>
      </c>
      <c r="B1876" s="186" t="s">
        <v>146</v>
      </c>
      <c r="C1876" s="186" t="s">
        <v>2176</v>
      </c>
      <c r="D1876" s="186">
        <v>468.8</v>
      </c>
      <c r="E1876" s="186">
        <v>7.71</v>
      </c>
      <c r="F1876" s="186">
        <v>7.42</v>
      </c>
      <c r="G1876" s="186">
        <v>4.1850722579999999</v>
      </c>
    </row>
    <row r="1877" spans="1:7" ht="14.4">
      <c r="A1877" s="186">
        <v>1876</v>
      </c>
      <c r="B1877" s="186" t="s">
        <v>373</v>
      </c>
      <c r="C1877" s="186" t="s">
        <v>2177</v>
      </c>
      <c r="D1877" s="186">
        <v>194.5</v>
      </c>
      <c r="E1877" s="186">
        <v>7.75</v>
      </c>
      <c r="F1877" s="186">
        <v>7.42</v>
      </c>
      <c r="G1877" s="186">
        <v>4.1850722579999999</v>
      </c>
    </row>
    <row r="1878" spans="1:7" ht="14.4">
      <c r="A1878" s="186">
        <v>1877</v>
      </c>
      <c r="B1878" s="186" t="s">
        <v>2178</v>
      </c>
      <c r="C1878" s="186" t="s">
        <v>2179</v>
      </c>
      <c r="D1878" s="186">
        <v>24.7</v>
      </c>
      <c r="E1878" s="186">
        <v>7.84</v>
      </c>
      <c r="F1878" s="186">
        <v>7.42</v>
      </c>
      <c r="G1878" s="186">
        <v>4.1850722579999999</v>
      </c>
    </row>
    <row r="1879" spans="1:7" ht="14.4">
      <c r="A1879" s="186">
        <v>1878</v>
      </c>
      <c r="B1879" s="186" t="s">
        <v>565</v>
      </c>
      <c r="C1879" s="186" t="s">
        <v>2180</v>
      </c>
      <c r="D1879" s="186">
        <v>196.1</v>
      </c>
      <c r="E1879" s="186">
        <v>7.48</v>
      </c>
      <c r="F1879" s="186">
        <v>7.42</v>
      </c>
      <c r="G1879" s="186">
        <v>4.1850722579999999</v>
      </c>
    </row>
    <row r="1880" spans="1:7" ht="14.4">
      <c r="A1880" s="186">
        <v>1879</v>
      </c>
      <c r="B1880" s="186" t="s">
        <v>234</v>
      </c>
      <c r="C1880" s="186" t="s">
        <v>2181</v>
      </c>
      <c r="D1880" s="186">
        <v>15.3</v>
      </c>
      <c r="E1880" s="186">
        <v>7.88</v>
      </c>
      <c r="F1880" s="186">
        <v>7.43</v>
      </c>
      <c r="G1880" s="186">
        <v>4.1928711329999997</v>
      </c>
    </row>
    <row r="1881" spans="1:7" ht="14.4">
      <c r="A1881" s="186">
        <v>1880</v>
      </c>
      <c r="B1881" s="186" t="s">
        <v>536</v>
      </c>
      <c r="C1881" s="186" t="s">
        <v>2182</v>
      </c>
      <c r="D1881" s="186">
        <v>568.4</v>
      </c>
      <c r="E1881" s="186">
        <v>7.66</v>
      </c>
      <c r="F1881" s="186">
        <v>7.43</v>
      </c>
      <c r="G1881" s="186">
        <v>4.1928711329999997</v>
      </c>
    </row>
    <row r="1882" spans="1:7" ht="14.4">
      <c r="A1882" s="186">
        <v>1881</v>
      </c>
      <c r="B1882" s="186" t="s">
        <v>395</v>
      </c>
      <c r="C1882" s="186" t="s">
        <v>2183</v>
      </c>
      <c r="D1882" s="186">
        <v>39.299999999999997</v>
      </c>
      <c r="E1882" s="186">
        <v>7.15</v>
      </c>
      <c r="F1882" s="186">
        <v>7.43</v>
      </c>
      <c r="G1882" s="186">
        <v>4.1928711329999997</v>
      </c>
    </row>
    <row r="1883" spans="1:7" ht="14.4">
      <c r="A1883" s="186">
        <v>1882</v>
      </c>
      <c r="B1883" s="186" t="s">
        <v>138</v>
      </c>
      <c r="C1883" s="186" t="s">
        <v>2184</v>
      </c>
      <c r="D1883" s="186">
        <v>126.9</v>
      </c>
      <c r="E1883" s="186">
        <v>7.36</v>
      </c>
      <c r="F1883" s="186">
        <v>7.44</v>
      </c>
      <c r="G1883" s="186">
        <v>4.2006838130000004</v>
      </c>
    </row>
    <row r="1884" spans="1:7" ht="14.4">
      <c r="A1884" s="186">
        <v>1883</v>
      </c>
      <c r="B1884" s="186" t="s">
        <v>1228</v>
      </c>
      <c r="C1884" s="186" t="s">
        <v>2185</v>
      </c>
      <c r="D1884" s="186">
        <v>133.1</v>
      </c>
      <c r="E1884" s="186">
        <v>7.58</v>
      </c>
      <c r="F1884" s="186">
        <v>7.44</v>
      </c>
      <c r="G1884" s="186">
        <v>4.2006838130000004</v>
      </c>
    </row>
    <row r="1885" spans="1:7" ht="14.4">
      <c r="A1885" s="186">
        <v>1884</v>
      </c>
      <c r="B1885" s="186" t="s">
        <v>271</v>
      </c>
      <c r="C1885" s="186" t="s">
        <v>2186</v>
      </c>
      <c r="D1885" s="186">
        <v>151.80000000000001</v>
      </c>
      <c r="E1885" s="186">
        <v>7.67</v>
      </c>
      <c r="F1885" s="186">
        <v>7.44</v>
      </c>
      <c r="G1885" s="186">
        <v>4.2006838130000004</v>
      </c>
    </row>
    <row r="1886" spans="1:7" ht="14.4">
      <c r="A1886" s="186">
        <v>1885</v>
      </c>
      <c r="B1886" s="186" t="s">
        <v>175</v>
      </c>
      <c r="C1886" s="186" t="s">
        <v>2187</v>
      </c>
      <c r="D1886" s="186">
        <v>154.5</v>
      </c>
      <c r="E1886" s="186">
        <v>7.03</v>
      </c>
      <c r="F1886" s="186">
        <v>7.44</v>
      </c>
      <c r="G1886" s="186">
        <v>4.2006838130000004</v>
      </c>
    </row>
    <row r="1887" spans="1:7" ht="14.4">
      <c r="A1887" s="186">
        <v>1886</v>
      </c>
      <c r="B1887" s="186" t="s">
        <v>553</v>
      </c>
      <c r="C1887" s="186" t="s">
        <v>2188</v>
      </c>
      <c r="D1887" s="186">
        <v>80</v>
      </c>
      <c r="E1887" s="186">
        <v>8</v>
      </c>
      <c r="F1887" s="186">
        <v>7.44</v>
      </c>
      <c r="G1887" s="186">
        <v>4.2006838130000004</v>
      </c>
    </row>
    <row r="1888" spans="1:7" ht="14.4">
      <c r="A1888" s="186">
        <v>1887</v>
      </c>
      <c r="B1888" s="186" t="s">
        <v>335</v>
      </c>
      <c r="C1888" s="186" t="s">
        <v>2189</v>
      </c>
      <c r="D1888" s="186">
        <v>30.5</v>
      </c>
      <c r="E1888" s="186">
        <v>7.55</v>
      </c>
      <c r="F1888" s="186">
        <v>7.44</v>
      </c>
      <c r="G1888" s="186">
        <v>4.2006838130000004</v>
      </c>
    </row>
    <row r="1889" spans="1:7" ht="14.4">
      <c r="A1889" s="186">
        <v>1888</v>
      </c>
      <c r="B1889" s="186" t="s">
        <v>317</v>
      </c>
      <c r="C1889" s="186" t="s">
        <v>2190</v>
      </c>
      <c r="D1889" s="187">
        <v>1111.5999999999999</v>
      </c>
      <c r="E1889" s="186">
        <v>7.31</v>
      </c>
      <c r="F1889" s="186">
        <v>7.44</v>
      </c>
      <c r="G1889" s="186">
        <v>4.2006838130000004</v>
      </c>
    </row>
    <row r="1890" spans="1:7" ht="14.4">
      <c r="A1890" s="186">
        <v>1889</v>
      </c>
      <c r="B1890" s="186" t="s">
        <v>1150</v>
      </c>
      <c r="C1890" s="186" t="s">
        <v>2191</v>
      </c>
      <c r="D1890" s="186">
        <v>313.5</v>
      </c>
      <c r="E1890" s="186">
        <v>7.79</v>
      </c>
      <c r="F1890" s="186">
        <v>7.45</v>
      </c>
      <c r="G1890" s="186">
        <v>4.2085103210000003</v>
      </c>
    </row>
    <row r="1891" spans="1:7" ht="14.4">
      <c r="A1891" s="186">
        <v>1890</v>
      </c>
      <c r="B1891" s="186" t="s">
        <v>252</v>
      </c>
      <c r="C1891" s="186" t="s">
        <v>2192</v>
      </c>
      <c r="D1891" s="187">
        <v>1478</v>
      </c>
      <c r="E1891" s="186">
        <v>7.77</v>
      </c>
      <c r="F1891" s="186">
        <v>7.45</v>
      </c>
      <c r="G1891" s="186">
        <v>4.2085103210000003</v>
      </c>
    </row>
    <row r="1892" spans="1:7" ht="14.4">
      <c r="A1892" s="186">
        <v>1891</v>
      </c>
      <c r="B1892" s="186" t="s">
        <v>175</v>
      </c>
      <c r="C1892" s="186" t="s">
        <v>2193</v>
      </c>
      <c r="D1892" s="186">
        <v>115.4</v>
      </c>
      <c r="E1892" s="186">
        <v>7.37</v>
      </c>
      <c r="F1892" s="186">
        <v>7.45</v>
      </c>
      <c r="G1892" s="186">
        <v>4.2085103210000003</v>
      </c>
    </row>
    <row r="1893" spans="1:7" ht="14.4">
      <c r="A1893" s="186">
        <v>1892</v>
      </c>
      <c r="B1893" s="186" t="s">
        <v>146</v>
      </c>
      <c r="C1893" s="186" t="s">
        <v>2194</v>
      </c>
      <c r="D1893" s="186">
        <v>6.3</v>
      </c>
      <c r="E1893" s="186">
        <v>7.85</v>
      </c>
      <c r="F1893" s="186">
        <v>7.45</v>
      </c>
      <c r="G1893" s="186">
        <v>4.2085103210000003</v>
      </c>
    </row>
    <row r="1894" spans="1:7" ht="14.4">
      <c r="A1894" s="186">
        <v>1893</v>
      </c>
      <c r="B1894" s="186" t="s">
        <v>178</v>
      </c>
      <c r="C1894" s="186" t="s">
        <v>2195</v>
      </c>
      <c r="D1894" s="186">
        <v>756.6</v>
      </c>
      <c r="E1894" s="186">
        <v>7.7</v>
      </c>
      <c r="F1894" s="186">
        <v>7.46</v>
      </c>
      <c r="G1894" s="186">
        <v>4.2163506799999997</v>
      </c>
    </row>
    <row r="1895" spans="1:7" ht="14.4">
      <c r="A1895" s="186">
        <v>1894</v>
      </c>
      <c r="B1895" s="186" t="s">
        <v>178</v>
      </c>
      <c r="C1895" s="186" t="s">
        <v>2196</v>
      </c>
      <c r="D1895" s="186">
        <v>843.1</v>
      </c>
      <c r="E1895" s="186">
        <v>7.35</v>
      </c>
      <c r="F1895" s="186">
        <v>7.46</v>
      </c>
      <c r="G1895" s="186">
        <v>4.2163506799999997</v>
      </c>
    </row>
    <row r="1896" spans="1:7" ht="14.4">
      <c r="A1896" s="186">
        <v>1895</v>
      </c>
      <c r="B1896" s="186" t="s">
        <v>178</v>
      </c>
      <c r="C1896" s="186" t="s">
        <v>2197</v>
      </c>
      <c r="D1896" s="186">
        <v>827.2</v>
      </c>
      <c r="E1896" s="186">
        <v>7.71</v>
      </c>
      <c r="F1896" s="186">
        <v>7.47</v>
      </c>
      <c r="G1896" s="186">
        <v>4.2242049149999996</v>
      </c>
    </row>
    <row r="1897" spans="1:7" ht="14.4">
      <c r="A1897" s="186">
        <v>1896</v>
      </c>
      <c r="B1897" s="186" t="s">
        <v>178</v>
      </c>
      <c r="C1897" s="186" t="s">
        <v>2198</v>
      </c>
      <c r="D1897" s="186">
        <v>0.1</v>
      </c>
      <c r="E1897" s="186">
        <v>7.54</v>
      </c>
      <c r="F1897" s="186">
        <v>7.47</v>
      </c>
      <c r="G1897" s="186">
        <v>4.2242049149999996</v>
      </c>
    </row>
    <row r="1898" spans="1:7" ht="14.4">
      <c r="A1898" s="186">
        <v>1897</v>
      </c>
      <c r="B1898" s="186" t="s">
        <v>536</v>
      </c>
      <c r="C1898" s="186" t="s">
        <v>2199</v>
      </c>
      <c r="D1898" s="187">
        <v>8073.6</v>
      </c>
      <c r="E1898" s="186">
        <v>7.7</v>
      </c>
      <c r="F1898" s="186">
        <v>7.47</v>
      </c>
      <c r="G1898" s="186">
        <v>4.2242049149999996</v>
      </c>
    </row>
    <row r="1899" spans="1:7" ht="14.4">
      <c r="A1899" s="186">
        <v>1898</v>
      </c>
      <c r="B1899" s="186" t="s">
        <v>263</v>
      </c>
      <c r="C1899" s="186" t="s">
        <v>2200</v>
      </c>
      <c r="D1899" s="187">
        <v>1199.8</v>
      </c>
      <c r="E1899" s="186">
        <v>7.5</v>
      </c>
      <c r="F1899" s="186">
        <v>7.47</v>
      </c>
      <c r="G1899" s="186">
        <v>4.2242049149999996</v>
      </c>
    </row>
    <row r="1900" spans="1:7" ht="14.4">
      <c r="A1900" s="186">
        <v>1899</v>
      </c>
      <c r="B1900" s="186" t="s">
        <v>365</v>
      </c>
      <c r="C1900" s="186" t="s">
        <v>2201</v>
      </c>
      <c r="D1900" s="186">
        <v>243.4</v>
      </c>
      <c r="E1900" s="186">
        <v>7.33</v>
      </c>
      <c r="F1900" s="186">
        <v>7.47</v>
      </c>
      <c r="G1900" s="186">
        <v>4.2242049149999996</v>
      </c>
    </row>
    <row r="1901" spans="1:7" ht="14.4">
      <c r="A1901" s="186">
        <v>1900</v>
      </c>
      <c r="B1901" s="186" t="s">
        <v>335</v>
      </c>
      <c r="C1901" s="186" t="s">
        <v>2202</v>
      </c>
      <c r="D1901" s="186">
        <v>634.20000000000005</v>
      </c>
      <c r="E1901" s="186">
        <v>7.59</v>
      </c>
      <c r="F1901" s="186">
        <v>7.47</v>
      </c>
      <c r="G1901" s="186">
        <v>4.2242049149999996</v>
      </c>
    </row>
    <row r="1902" spans="1:7" ht="14.4">
      <c r="A1902" s="186">
        <v>1901</v>
      </c>
      <c r="B1902" s="186" t="s">
        <v>213</v>
      </c>
      <c r="C1902" s="186" t="s">
        <v>2203</v>
      </c>
      <c r="D1902" s="187">
        <v>1283.2</v>
      </c>
      <c r="E1902" s="186">
        <v>7.35</v>
      </c>
      <c r="F1902" s="186">
        <v>7.47</v>
      </c>
      <c r="G1902" s="186">
        <v>4.2242049149999996</v>
      </c>
    </row>
    <row r="1903" spans="1:7" ht="14.4">
      <c r="A1903" s="186">
        <v>1902</v>
      </c>
      <c r="B1903" s="186" t="s">
        <v>120</v>
      </c>
      <c r="C1903" s="186" t="s">
        <v>2204</v>
      </c>
      <c r="D1903" s="186">
        <v>7.2</v>
      </c>
      <c r="E1903" s="186">
        <v>7.96</v>
      </c>
      <c r="F1903" s="186">
        <v>7.47</v>
      </c>
      <c r="G1903" s="186">
        <v>4.2242049149999996</v>
      </c>
    </row>
    <row r="1904" spans="1:7" ht="14.4">
      <c r="A1904" s="186">
        <v>1903</v>
      </c>
      <c r="B1904" s="186" t="s">
        <v>1119</v>
      </c>
      <c r="C1904" s="186" t="s">
        <v>2205</v>
      </c>
      <c r="D1904" s="186">
        <v>7.4</v>
      </c>
      <c r="E1904" s="186">
        <v>7.95</v>
      </c>
      <c r="F1904" s="186">
        <v>7.47</v>
      </c>
      <c r="G1904" s="186">
        <v>4.2242049149999996</v>
      </c>
    </row>
    <row r="1905" spans="1:7" ht="14.4">
      <c r="A1905" s="186">
        <v>1904</v>
      </c>
      <c r="B1905" s="186" t="s">
        <v>263</v>
      </c>
      <c r="C1905" s="186" t="s">
        <v>2206</v>
      </c>
      <c r="D1905" s="187">
        <v>7831.5</v>
      </c>
      <c r="E1905" s="186">
        <v>7.26</v>
      </c>
      <c r="F1905" s="186">
        <v>7.48</v>
      </c>
      <c r="G1905" s="186">
        <v>4.2320730480000002</v>
      </c>
    </row>
    <row r="1906" spans="1:7" ht="14.4">
      <c r="A1906" s="186">
        <v>1905</v>
      </c>
      <c r="B1906" s="186" t="s">
        <v>263</v>
      </c>
      <c r="C1906" s="186" t="s">
        <v>2207</v>
      </c>
      <c r="D1906" s="187">
        <v>1001.1</v>
      </c>
      <c r="E1906" s="186">
        <v>7.35</v>
      </c>
      <c r="F1906" s="186">
        <v>7.48</v>
      </c>
      <c r="G1906" s="186">
        <v>4.2320730480000002</v>
      </c>
    </row>
    <row r="1907" spans="1:7" ht="14.4">
      <c r="A1907" s="186">
        <v>1906</v>
      </c>
      <c r="B1907" s="186" t="s">
        <v>2208</v>
      </c>
      <c r="C1907" s="186" t="s">
        <v>2209</v>
      </c>
      <c r="D1907" s="186">
        <v>33.299999999999997</v>
      </c>
      <c r="E1907" s="186">
        <v>7.83</v>
      </c>
      <c r="F1907" s="186">
        <v>7.48</v>
      </c>
      <c r="G1907" s="186">
        <v>4.2320730480000002</v>
      </c>
    </row>
    <row r="1908" spans="1:7" ht="14.4">
      <c r="A1908" s="186">
        <v>1907</v>
      </c>
      <c r="B1908" s="186" t="s">
        <v>1556</v>
      </c>
      <c r="C1908" s="186" t="s">
        <v>2210</v>
      </c>
      <c r="D1908" s="186">
        <v>97</v>
      </c>
      <c r="E1908" s="186">
        <v>7.9</v>
      </c>
      <c r="F1908" s="186">
        <v>7.48</v>
      </c>
      <c r="G1908" s="186">
        <v>4.2320730480000002</v>
      </c>
    </row>
    <row r="1909" spans="1:7" ht="14.4">
      <c r="A1909" s="186">
        <v>1908</v>
      </c>
      <c r="B1909" s="186" t="s">
        <v>234</v>
      </c>
      <c r="C1909" s="186" t="s">
        <v>2211</v>
      </c>
      <c r="D1909" s="186">
        <v>71.8</v>
      </c>
      <c r="E1909" s="186">
        <v>7.56</v>
      </c>
      <c r="F1909" s="186">
        <v>7.49</v>
      </c>
      <c r="G1909" s="186">
        <v>4.2399551019999997</v>
      </c>
    </row>
    <row r="1910" spans="1:7" ht="14.4">
      <c r="A1910" s="186">
        <v>1909</v>
      </c>
      <c r="B1910" s="186" t="s">
        <v>1228</v>
      </c>
      <c r="C1910" s="186" t="s">
        <v>2212</v>
      </c>
      <c r="D1910" s="186">
        <v>68.5</v>
      </c>
      <c r="E1910" s="186">
        <v>7.69</v>
      </c>
      <c r="F1910" s="186">
        <v>7.49</v>
      </c>
      <c r="G1910" s="186">
        <v>4.2399551019999997</v>
      </c>
    </row>
    <row r="1911" spans="1:7" ht="14.4">
      <c r="A1911" s="186">
        <v>1910</v>
      </c>
      <c r="B1911" s="186" t="s">
        <v>1228</v>
      </c>
      <c r="C1911" s="186" t="s">
        <v>2213</v>
      </c>
      <c r="D1911" s="186">
        <v>498.9</v>
      </c>
      <c r="E1911" s="186">
        <v>7.64</v>
      </c>
      <c r="F1911" s="186">
        <v>7.49</v>
      </c>
      <c r="G1911" s="186">
        <v>4.2399551019999997</v>
      </c>
    </row>
    <row r="1912" spans="1:7" ht="14.4">
      <c r="A1912" s="186">
        <v>1911</v>
      </c>
      <c r="B1912" s="186" t="s">
        <v>124</v>
      </c>
      <c r="C1912" s="186" t="s">
        <v>2214</v>
      </c>
      <c r="D1912" s="186">
        <v>209.8</v>
      </c>
      <c r="E1912" s="186">
        <v>7.92</v>
      </c>
      <c r="F1912" s="186">
        <v>7.49</v>
      </c>
      <c r="G1912" s="186">
        <v>4.2399551019999997</v>
      </c>
    </row>
    <row r="1913" spans="1:7" ht="14.4">
      <c r="A1913" s="186">
        <v>1912</v>
      </c>
      <c r="B1913" s="186" t="s">
        <v>449</v>
      </c>
      <c r="C1913" s="186" t="s">
        <v>2215</v>
      </c>
      <c r="D1913" s="186">
        <v>49.6</v>
      </c>
      <c r="E1913" s="186">
        <v>7.88</v>
      </c>
      <c r="F1913" s="186">
        <v>7.49</v>
      </c>
      <c r="G1913" s="186">
        <v>4.2399551019999997</v>
      </c>
    </row>
    <row r="1914" spans="1:7" ht="14.4">
      <c r="A1914" s="186">
        <v>1913</v>
      </c>
      <c r="B1914" s="186" t="s">
        <v>415</v>
      </c>
      <c r="C1914" s="186" t="s">
        <v>2216</v>
      </c>
      <c r="D1914" s="186">
        <v>353.5</v>
      </c>
      <c r="E1914" s="186">
        <v>7.44</v>
      </c>
      <c r="F1914" s="186">
        <v>7.49</v>
      </c>
      <c r="G1914" s="186">
        <v>4.2399551019999997</v>
      </c>
    </row>
    <row r="1915" spans="1:7" ht="14.4">
      <c r="A1915" s="186">
        <v>1914</v>
      </c>
      <c r="B1915" s="186" t="s">
        <v>187</v>
      </c>
      <c r="C1915" s="186" t="s">
        <v>2217</v>
      </c>
      <c r="D1915" s="186">
        <v>640.6</v>
      </c>
      <c r="E1915" s="186">
        <v>7.62</v>
      </c>
      <c r="F1915" s="186">
        <v>7.49</v>
      </c>
      <c r="G1915" s="186">
        <v>4.2399551019999997</v>
      </c>
    </row>
    <row r="1916" spans="1:7" ht="14.4">
      <c r="A1916" s="186">
        <v>1915</v>
      </c>
      <c r="B1916" s="186" t="s">
        <v>565</v>
      </c>
      <c r="C1916" s="186" t="s">
        <v>2218</v>
      </c>
      <c r="D1916" s="186">
        <v>942.1</v>
      </c>
      <c r="E1916" s="186">
        <v>7.78</v>
      </c>
      <c r="F1916" s="186">
        <v>7.49</v>
      </c>
      <c r="G1916" s="186">
        <v>4.2399551019999997</v>
      </c>
    </row>
    <row r="1917" spans="1:7" ht="14.4">
      <c r="A1917" s="186">
        <v>1916</v>
      </c>
      <c r="B1917" s="186" t="s">
        <v>178</v>
      </c>
      <c r="C1917" s="186" t="s">
        <v>2219</v>
      </c>
      <c r="D1917" s="187">
        <v>2012</v>
      </c>
      <c r="E1917" s="186">
        <v>7.39</v>
      </c>
      <c r="F1917" s="186">
        <v>7.5</v>
      </c>
      <c r="G1917" s="186">
        <v>4.2478511000000001</v>
      </c>
    </row>
    <row r="1918" spans="1:7" ht="14.4">
      <c r="A1918" s="186">
        <v>1917</v>
      </c>
      <c r="B1918" s="186" t="s">
        <v>178</v>
      </c>
      <c r="C1918" s="186" t="s">
        <v>2220</v>
      </c>
      <c r="D1918" s="186">
        <v>0.1</v>
      </c>
      <c r="E1918" s="186">
        <v>7.58</v>
      </c>
      <c r="F1918" s="186">
        <v>7.5</v>
      </c>
      <c r="G1918" s="186">
        <v>4.2478511000000001</v>
      </c>
    </row>
    <row r="1919" spans="1:7" ht="14.4">
      <c r="A1919" s="186">
        <v>1918</v>
      </c>
      <c r="B1919" s="186" t="s">
        <v>422</v>
      </c>
      <c r="C1919" s="186" t="s">
        <v>2221</v>
      </c>
      <c r="D1919" s="186">
        <v>102</v>
      </c>
      <c r="E1919" s="186">
        <v>7.67</v>
      </c>
      <c r="F1919" s="186">
        <v>7.5</v>
      </c>
      <c r="G1919" s="186">
        <v>4.2478511000000001</v>
      </c>
    </row>
    <row r="1920" spans="1:7" ht="14.4">
      <c r="A1920" s="186">
        <v>1919</v>
      </c>
      <c r="B1920" s="186" t="s">
        <v>536</v>
      </c>
      <c r="C1920" s="186" t="s">
        <v>2222</v>
      </c>
      <c r="D1920" s="187">
        <v>1911.7</v>
      </c>
      <c r="E1920" s="186">
        <v>7.72</v>
      </c>
      <c r="F1920" s="186">
        <v>7.5</v>
      </c>
      <c r="G1920" s="186">
        <v>4.2478511000000001</v>
      </c>
    </row>
    <row r="1921" spans="1:7" ht="14.4">
      <c r="A1921" s="186">
        <v>1920</v>
      </c>
      <c r="B1921" s="186" t="s">
        <v>373</v>
      </c>
      <c r="C1921" s="186" t="s">
        <v>2223</v>
      </c>
      <c r="D1921" s="186">
        <v>7.9</v>
      </c>
      <c r="E1921" s="186">
        <v>7.84</v>
      </c>
      <c r="F1921" s="186">
        <v>7.5</v>
      </c>
      <c r="G1921" s="186">
        <v>4.2478511000000001</v>
      </c>
    </row>
    <row r="1922" spans="1:7" ht="14.4">
      <c r="A1922" s="186">
        <v>1921</v>
      </c>
      <c r="B1922" s="186" t="s">
        <v>1556</v>
      </c>
      <c r="C1922" s="186" t="s">
        <v>2224</v>
      </c>
      <c r="D1922" s="187">
        <v>1040.8</v>
      </c>
      <c r="E1922" s="186">
        <v>7.92</v>
      </c>
      <c r="F1922" s="186">
        <v>7.5</v>
      </c>
      <c r="G1922" s="186">
        <v>4.2478511000000001</v>
      </c>
    </row>
    <row r="1923" spans="1:7" ht="14.4">
      <c r="A1923" s="186">
        <v>1922</v>
      </c>
      <c r="B1923" s="186" t="s">
        <v>2225</v>
      </c>
      <c r="C1923" s="186" t="s">
        <v>2226</v>
      </c>
      <c r="D1923" s="186">
        <v>108.3</v>
      </c>
      <c r="E1923" s="186">
        <v>7.25</v>
      </c>
      <c r="F1923" s="186">
        <v>7.5</v>
      </c>
      <c r="G1923" s="186">
        <v>4.2478511000000001</v>
      </c>
    </row>
    <row r="1924" spans="1:7" ht="14.4">
      <c r="A1924" s="186">
        <v>1923</v>
      </c>
      <c r="B1924" s="186" t="s">
        <v>184</v>
      </c>
      <c r="C1924" s="186" t="s">
        <v>2227</v>
      </c>
      <c r="D1924" s="187">
        <v>31918.400000000001</v>
      </c>
      <c r="E1924" s="186">
        <v>7.55</v>
      </c>
      <c r="F1924" s="186">
        <v>7.5</v>
      </c>
      <c r="G1924" s="186">
        <v>4.2478511000000001</v>
      </c>
    </row>
    <row r="1925" spans="1:7" ht="14.4">
      <c r="A1925" s="186">
        <v>1924</v>
      </c>
      <c r="B1925" s="186" t="s">
        <v>138</v>
      </c>
      <c r="C1925" s="186" t="s">
        <v>2228</v>
      </c>
      <c r="D1925" s="186">
        <v>92.7</v>
      </c>
      <c r="E1925" s="186">
        <v>7.82</v>
      </c>
      <c r="F1925" s="186">
        <v>7.51</v>
      </c>
      <c r="G1925" s="186">
        <v>4.2557610669999999</v>
      </c>
    </row>
    <row r="1926" spans="1:7" ht="14.4">
      <c r="A1926" s="186">
        <v>1925</v>
      </c>
      <c r="B1926" s="186" t="s">
        <v>1228</v>
      </c>
      <c r="C1926" s="186" t="s">
        <v>2229</v>
      </c>
      <c r="D1926" s="187">
        <v>2545.5</v>
      </c>
      <c r="E1926" s="186">
        <v>7.47</v>
      </c>
      <c r="F1926" s="186">
        <v>7.51</v>
      </c>
      <c r="G1926" s="186">
        <v>4.2557610669999999</v>
      </c>
    </row>
    <row r="1927" spans="1:7" ht="14.4">
      <c r="A1927" s="186">
        <v>1926</v>
      </c>
      <c r="B1927" s="186" t="s">
        <v>1228</v>
      </c>
      <c r="C1927" s="186" t="s">
        <v>2230</v>
      </c>
      <c r="D1927" s="187">
        <v>9552</v>
      </c>
      <c r="E1927" s="186">
        <v>7.74</v>
      </c>
      <c r="F1927" s="186">
        <v>7.51</v>
      </c>
      <c r="G1927" s="186">
        <v>4.2557610669999999</v>
      </c>
    </row>
    <row r="1928" spans="1:7" ht="14.4">
      <c r="A1928" s="186">
        <v>1927</v>
      </c>
      <c r="B1928" s="186" t="s">
        <v>362</v>
      </c>
      <c r="C1928" s="186" t="s">
        <v>2231</v>
      </c>
      <c r="D1928" s="186">
        <v>7.7</v>
      </c>
      <c r="E1928" s="186">
        <v>7.83</v>
      </c>
      <c r="F1928" s="186">
        <v>7.51</v>
      </c>
      <c r="G1928" s="186">
        <v>4.2557610669999999</v>
      </c>
    </row>
    <row r="1929" spans="1:7" ht="14.4">
      <c r="A1929" s="186">
        <v>1928</v>
      </c>
      <c r="B1929" s="186" t="s">
        <v>307</v>
      </c>
      <c r="C1929" s="186" t="s">
        <v>2232</v>
      </c>
      <c r="D1929" s="186">
        <v>6.5</v>
      </c>
      <c r="E1929" s="186">
        <v>8.18</v>
      </c>
      <c r="F1929" s="186">
        <v>7.51</v>
      </c>
      <c r="G1929" s="186">
        <v>4.2557610669999999</v>
      </c>
    </row>
    <row r="1930" spans="1:7" ht="14.4">
      <c r="A1930" s="186">
        <v>1929</v>
      </c>
      <c r="B1930" s="186" t="s">
        <v>187</v>
      </c>
      <c r="C1930" s="186" t="s">
        <v>2233</v>
      </c>
      <c r="D1930" s="187">
        <v>3612.5</v>
      </c>
      <c r="E1930" s="186">
        <v>7.66</v>
      </c>
      <c r="F1930" s="186">
        <v>7.51</v>
      </c>
      <c r="G1930" s="186">
        <v>4.2557610669999999</v>
      </c>
    </row>
    <row r="1931" spans="1:7" ht="14.4">
      <c r="A1931" s="186">
        <v>1930</v>
      </c>
      <c r="B1931" s="186" t="s">
        <v>1228</v>
      </c>
      <c r="C1931" s="186" t="s">
        <v>2234</v>
      </c>
      <c r="D1931" s="187">
        <v>25153.3</v>
      </c>
      <c r="E1931" s="186">
        <v>7.4</v>
      </c>
      <c r="F1931" s="186">
        <v>7.52</v>
      </c>
      <c r="G1931" s="186">
        <v>4.263685025</v>
      </c>
    </row>
    <row r="1932" spans="1:7" ht="14.4">
      <c r="A1932" s="186">
        <v>1931</v>
      </c>
      <c r="B1932" s="186" t="s">
        <v>1228</v>
      </c>
      <c r="C1932" s="186" t="s">
        <v>2235</v>
      </c>
      <c r="D1932" s="186">
        <v>184.5</v>
      </c>
      <c r="E1932" s="186">
        <v>7.66</v>
      </c>
      <c r="F1932" s="186">
        <v>7.52</v>
      </c>
      <c r="G1932" s="186">
        <v>4.263685025</v>
      </c>
    </row>
    <row r="1933" spans="1:7" ht="14.4">
      <c r="A1933" s="186">
        <v>1932</v>
      </c>
      <c r="B1933" s="186" t="s">
        <v>178</v>
      </c>
      <c r="C1933" s="186" t="s">
        <v>2236</v>
      </c>
      <c r="D1933" s="186">
        <v>11.1</v>
      </c>
      <c r="E1933" s="186">
        <v>7.73</v>
      </c>
      <c r="F1933" s="186">
        <v>7.52</v>
      </c>
      <c r="G1933" s="186">
        <v>4.263685025</v>
      </c>
    </row>
    <row r="1934" spans="1:7" ht="14.4">
      <c r="A1934" s="186">
        <v>1933</v>
      </c>
      <c r="B1934" s="186" t="s">
        <v>187</v>
      </c>
      <c r="C1934" s="186" t="s">
        <v>2237</v>
      </c>
      <c r="D1934" s="186">
        <v>821.4</v>
      </c>
      <c r="E1934" s="186">
        <v>7.67</v>
      </c>
      <c r="F1934" s="186">
        <v>7.52</v>
      </c>
      <c r="G1934" s="186">
        <v>4.263685025</v>
      </c>
    </row>
    <row r="1935" spans="1:7" ht="14.4">
      <c r="A1935" s="186">
        <v>1934</v>
      </c>
      <c r="B1935" s="186" t="s">
        <v>1228</v>
      </c>
      <c r="C1935" s="186" t="s">
        <v>2238</v>
      </c>
      <c r="D1935" s="186">
        <v>639.6</v>
      </c>
      <c r="E1935" s="186">
        <v>7.72</v>
      </c>
      <c r="F1935" s="186">
        <v>7.53</v>
      </c>
      <c r="G1935" s="186">
        <v>4.2716229979999998</v>
      </c>
    </row>
    <row r="1936" spans="1:7" ht="14.4">
      <c r="A1936" s="186">
        <v>1935</v>
      </c>
      <c r="B1936" s="186" t="s">
        <v>1228</v>
      </c>
      <c r="C1936" s="186" t="s">
        <v>2239</v>
      </c>
      <c r="D1936" s="186">
        <v>0.1</v>
      </c>
      <c r="E1936" s="186">
        <v>7.72</v>
      </c>
      <c r="F1936" s="186">
        <v>7.53</v>
      </c>
      <c r="G1936" s="186">
        <v>4.2716229979999998</v>
      </c>
    </row>
    <row r="1937" spans="1:7" ht="14.4">
      <c r="A1937" s="186">
        <v>1936</v>
      </c>
      <c r="B1937" s="186" t="s">
        <v>1228</v>
      </c>
      <c r="C1937" s="186" t="s">
        <v>2240</v>
      </c>
      <c r="D1937" s="186">
        <v>47.6</v>
      </c>
      <c r="E1937" s="186">
        <v>7.68</v>
      </c>
      <c r="F1937" s="186">
        <v>7.53</v>
      </c>
      <c r="G1937" s="186">
        <v>4.2716229979999998</v>
      </c>
    </row>
    <row r="1938" spans="1:7" ht="14.4">
      <c r="A1938" s="186">
        <v>1937</v>
      </c>
      <c r="B1938" s="186" t="s">
        <v>263</v>
      </c>
      <c r="C1938" s="186" t="s">
        <v>2241</v>
      </c>
      <c r="D1938" s="186">
        <v>8.9</v>
      </c>
      <c r="E1938" s="186">
        <v>7.63</v>
      </c>
      <c r="F1938" s="186">
        <v>7.53</v>
      </c>
      <c r="G1938" s="186">
        <v>4.2716229979999998</v>
      </c>
    </row>
    <row r="1939" spans="1:7" ht="14.4">
      <c r="A1939" s="186">
        <v>1938</v>
      </c>
      <c r="B1939" s="186" t="s">
        <v>373</v>
      </c>
      <c r="C1939" s="186" t="s">
        <v>2242</v>
      </c>
      <c r="D1939" s="186">
        <v>3.8</v>
      </c>
      <c r="E1939" s="186">
        <v>7.88</v>
      </c>
      <c r="F1939" s="186">
        <v>7.53</v>
      </c>
      <c r="G1939" s="186">
        <v>4.2716229979999998</v>
      </c>
    </row>
    <row r="1940" spans="1:7" ht="14.4">
      <c r="A1940" s="186">
        <v>1939</v>
      </c>
      <c r="B1940" s="186" t="s">
        <v>395</v>
      </c>
      <c r="C1940" s="186" t="s">
        <v>2243</v>
      </c>
      <c r="D1940" s="186">
        <v>31.1</v>
      </c>
      <c r="E1940" s="186">
        <v>7.78</v>
      </c>
      <c r="F1940" s="186">
        <v>7.53</v>
      </c>
      <c r="G1940" s="186">
        <v>4.2716229979999998</v>
      </c>
    </row>
    <row r="1941" spans="1:7" ht="14.4">
      <c r="A1941" s="186">
        <v>1940</v>
      </c>
      <c r="B1941" s="186" t="s">
        <v>118</v>
      </c>
      <c r="C1941" s="186" t="s">
        <v>2244</v>
      </c>
      <c r="D1941" s="186">
        <v>854.6</v>
      </c>
      <c r="E1941" s="186">
        <v>7.43</v>
      </c>
      <c r="F1941" s="186">
        <v>7.53</v>
      </c>
      <c r="G1941" s="186">
        <v>4.2716229979999998</v>
      </c>
    </row>
    <row r="1942" spans="1:7" ht="14.4">
      <c r="A1942" s="186">
        <v>1941</v>
      </c>
      <c r="B1942" s="186" t="s">
        <v>1228</v>
      </c>
      <c r="C1942" s="186" t="s">
        <v>2245</v>
      </c>
      <c r="D1942" s="187">
        <v>2080.5</v>
      </c>
      <c r="E1942" s="186">
        <v>7.82</v>
      </c>
      <c r="F1942" s="186">
        <v>7.54</v>
      </c>
      <c r="G1942" s="186">
        <v>4.2795750100000003</v>
      </c>
    </row>
    <row r="1943" spans="1:7" ht="14.4">
      <c r="A1943" s="186">
        <v>1942</v>
      </c>
      <c r="B1943" s="186" t="s">
        <v>1228</v>
      </c>
      <c r="C1943" s="186" t="s">
        <v>2246</v>
      </c>
      <c r="D1943" s="187">
        <v>1649</v>
      </c>
      <c r="E1943" s="186">
        <v>7.81</v>
      </c>
      <c r="F1943" s="186">
        <v>7.54</v>
      </c>
      <c r="G1943" s="186">
        <v>4.2795750100000003</v>
      </c>
    </row>
    <row r="1944" spans="1:7" ht="14.4">
      <c r="A1944" s="186">
        <v>1943</v>
      </c>
      <c r="B1944" s="186" t="s">
        <v>1228</v>
      </c>
      <c r="C1944" s="186" t="s">
        <v>2247</v>
      </c>
      <c r="D1944" s="187">
        <v>13048</v>
      </c>
      <c r="E1944" s="186">
        <v>7.78</v>
      </c>
      <c r="F1944" s="186">
        <v>7.54</v>
      </c>
      <c r="G1944" s="186">
        <v>4.2795750100000003</v>
      </c>
    </row>
    <row r="1945" spans="1:7" ht="14.4">
      <c r="A1945" s="186">
        <v>1944</v>
      </c>
      <c r="B1945" s="186" t="s">
        <v>178</v>
      </c>
      <c r="C1945" s="186" t="s">
        <v>2248</v>
      </c>
      <c r="D1945" s="186">
        <v>22.4</v>
      </c>
      <c r="E1945" s="186">
        <v>7.43</v>
      </c>
      <c r="F1945" s="186">
        <v>7.54</v>
      </c>
      <c r="G1945" s="186">
        <v>4.2795750100000003</v>
      </c>
    </row>
    <row r="1946" spans="1:7" ht="14.4">
      <c r="A1946" s="186">
        <v>1945</v>
      </c>
      <c r="B1946" s="186" t="s">
        <v>365</v>
      </c>
      <c r="C1946" s="186" t="s">
        <v>2249</v>
      </c>
      <c r="D1946" s="186">
        <v>142.6</v>
      </c>
      <c r="E1946" s="186">
        <v>7.77</v>
      </c>
      <c r="F1946" s="186">
        <v>7.54</v>
      </c>
      <c r="G1946" s="186">
        <v>4.2795750100000003</v>
      </c>
    </row>
    <row r="1947" spans="1:7" ht="14.4">
      <c r="A1947" s="186">
        <v>1946</v>
      </c>
      <c r="B1947" s="186" t="s">
        <v>2250</v>
      </c>
      <c r="C1947" s="186" t="s">
        <v>2251</v>
      </c>
      <c r="D1947" s="186">
        <v>111.3</v>
      </c>
      <c r="E1947" s="186">
        <v>7.88</v>
      </c>
      <c r="F1947" s="186">
        <v>7.55</v>
      </c>
      <c r="G1947" s="186">
        <v>4.2875410829999998</v>
      </c>
    </row>
    <row r="1948" spans="1:7" ht="14.4">
      <c r="A1948" s="186">
        <v>1947</v>
      </c>
      <c r="B1948" s="186" t="s">
        <v>178</v>
      </c>
      <c r="C1948" s="186" t="s">
        <v>2252</v>
      </c>
      <c r="D1948" s="186">
        <v>23.2</v>
      </c>
      <c r="E1948" s="186">
        <v>7.97</v>
      </c>
      <c r="F1948" s="186">
        <v>7.55</v>
      </c>
      <c r="G1948" s="186">
        <v>4.2875410829999998</v>
      </c>
    </row>
    <row r="1949" spans="1:7" ht="14.4">
      <c r="A1949" s="186">
        <v>1948</v>
      </c>
      <c r="B1949" s="186" t="s">
        <v>133</v>
      </c>
      <c r="C1949" s="186" t="s">
        <v>2253</v>
      </c>
      <c r="D1949" s="186">
        <v>798.4</v>
      </c>
      <c r="E1949" s="186">
        <v>7.75</v>
      </c>
      <c r="F1949" s="186">
        <v>7.55</v>
      </c>
      <c r="G1949" s="186">
        <v>4.2875410829999998</v>
      </c>
    </row>
    <row r="1950" spans="1:7" ht="14.4">
      <c r="A1950" s="186">
        <v>1949</v>
      </c>
      <c r="B1950" s="186" t="s">
        <v>602</v>
      </c>
      <c r="C1950" s="186" t="s">
        <v>2254</v>
      </c>
      <c r="D1950" s="186">
        <v>716.1</v>
      </c>
      <c r="E1950" s="186">
        <v>7.52</v>
      </c>
      <c r="F1950" s="186">
        <v>7.56</v>
      </c>
      <c r="G1950" s="186">
        <v>4.2955212420000004</v>
      </c>
    </row>
    <row r="1951" spans="1:7" ht="14.4">
      <c r="A1951" s="186">
        <v>1950</v>
      </c>
      <c r="B1951" s="186" t="s">
        <v>271</v>
      </c>
      <c r="C1951" s="186" t="s">
        <v>2255</v>
      </c>
      <c r="D1951" s="186">
        <v>0.2</v>
      </c>
      <c r="E1951" s="186">
        <v>7.95</v>
      </c>
      <c r="F1951" s="186">
        <v>7.56</v>
      </c>
      <c r="G1951" s="186">
        <v>4.2955212420000004</v>
      </c>
    </row>
    <row r="1952" spans="1:7" ht="14.4">
      <c r="A1952" s="186">
        <v>1951</v>
      </c>
      <c r="B1952" s="186" t="s">
        <v>178</v>
      </c>
      <c r="C1952" s="186" t="s">
        <v>2256</v>
      </c>
      <c r="D1952" s="186">
        <v>63.7</v>
      </c>
      <c r="E1952" s="186">
        <v>7.45</v>
      </c>
      <c r="F1952" s="186">
        <v>7.56</v>
      </c>
      <c r="G1952" s="186">
        <v>4.2955212420000004</v>
      </c>
    </row>
    <row r="1953" spans="1:7" ht="14.4">
      <c r="A1953" s="186">
        <v>1952</v>
      </c>
      <c r="B1953" s="186" t="s">
        <v>365</v>
      </c>
      <c r="C1953" s="186" t="s">
        <v>2257</v>
      </c>
      <c r="D1953" s="187">
        <v>2225.6999999999998</v>
      </c>
      <c r="E1953" s="186">
        <v>7.79</v>
      </c>
      <c r="F1953" s="186">
        <v>7.56</v>
      </c>
      <c r="G1953" s="186">
        <v>4.2955212420000004</v>
      </c>
    </row>
    <row r="1954" spans="1:7" ht="14.4">
      <c r="A1954" s="186">
        <v>1953</v>
      </c>
      <c r="B1954" s="186" t="s">
        <v>373</v>
      </c>
      <c r="C1954" s="186" t="s">
        <v>2258</v>
      </c>
      <c r="D1954" s="186">
        <v>131.9</v>
      </c>
      <c r="E1954" s="186">
        <v>7.71</v>
      </c>
      <c r="F1954" s="186">
        <v>7.56</v>
      </c>
      <c r="G1954" s="186">
        <v>4.2955212420000004</v>
      </c>
    </row>
    <row r="1955" spans="1:7" ht="14.4">
      <c r="A1955" s="186">
        <v>1954</v>
      </c>
      <c r="B1955" s="186" t="s">
        <v>128</v>
      </c>
      <c r="C1955" s="186" t="s">
        <v>2259</v>
      </c>
      <c r="D1955" s="186">
        <v>91.8</v>
      </c>
      <c r="E1955" s="186">
        <v>7.91</v>
      </c>
      <c r="F1955" s="186">
        <v>7.56</v>
      </c>
      <c r="G1955" s="186">
        <v>4.2955212420000004</v>
      </c>
    </row>
    <row r="1956" spans="1:7" ht="14.4">
      <c r="A1956" s="186">
        <v>1955</v>
      </c>
      <c r="B1956" s="186" t="s">
        <v>2260</v>
      </c>
      <c r="C1956" s="186" t="s">
        <v>2261</v>
      </c>
      <c r="D1956" s="186">
        <v>743.5</v>
      </c>
      <c r="E1956" s="186">
        <v>7.91</v>
      </c>
      <c r="F1956" s="186">
        <v>7.56</v>
      </c>
      <c r="G1956" s="186">
        <v>4.2955212420000004</v>
      </c>
    </row>
    <row r="1957" spans="1:7" ht="14.4">
      <c r="A1957" s="186">
        <v>1956</v>
      </c>
      <c r="B1957" s="186" t="s">
        <v>112</v>
      </c>
      <c r="C1957" s="186" t="s">
        <v>2262</v>
      </c>
      <c r="D1957" s="187">
        <v>1254.2</v>
      </c>
      <c r="E1957" s="186">
        <v>7.79</v>
      </c>
      <c r="F1957" s="186">
        <v>7.57</v>
      </c>
      <c r="G1957" s="186">
        <v>4.3035155100000004</v>
      </c>
    </row>
    <row r="1958" spans="1:7" ht="14.4">
      <c r="A1958" s="186">
        <v>1957</v>
      </c>
      <c r="B1958" s="186" t="s">
        <v>271</v>
      </c>
      <c r="C1958" s="186" t="s">
        <v>2263</v>
      </c>
      <c r="D1958" s="186">
        <v>65.7</v>
      </c>
      <c r="E1958" s="186">
        <v>7.96</v>
      </c>
      <c r="F1958" s="186">
        <v>7.57</v>
      </c>
      <c r="G1958" s="186">
        <v>4.3035155100000004</v>
      </c>
    </row>
    <row r="1959" spans="1:7" ht="14.4">
      <c r="A1959" s="186">
        <v>1958</v>
      </c>
      <c r="B1959" s="186" t="s">
        <v>122</v>
      </c>
      <c r="C1959" s="186" t="s">
        <v>2264</v>
      </c>
      <c r="D1959" s="186">
        <v>721.6</v>
      </c>
      <c r="E1959" s="186">
        <v>7.48</v>
      </c>
      <c r="F1959" s="186">
        <v>7.57</v>
      </c>
      <c r="G1959" s="186">
        <v>4.3035155100000004</v>
      </c>
    </row>
    <row r="1960" spans="1:7" ht="14.4">
      <c r="A1960" s="186">
        <v>1959</v>
      </c>
      <c r="B1960" s="186" t="s">
        <v>263</v>
      </c>
      <c r="C1960" s="186" t="s">
        <v>2265</v>
      </c>
      <c r="D1960" s="186">
        <v>74.8</v>
      </c>
      <c r="E1960" s="186">
        <v>7.61</v>
      </c>
      <c r="F1960" s="186">
        <v>7.57</v>
      </c>
      <c r="G1960" s="186">
        <v>4.3035155100000004</v>
      </c>
    </row>
    <row r="1961" spans="1:7" ht="14.4">
      <c r="A1961" s="186">
        <v>1960</v>
      </c>
      <c r="B1961" s="186" t="s">
        <v>477</v>
      </c>
      <c r="C1961" s="186" t="s">
        <v>2266</v>
      </c>
      <c r="D1961" s="186">
        <v>6.4</v>
      </c>
      <c r="E1961" s="186">
        <v>7.86</v>
      </c>
      <c r="F1961" s="186">
        <v>7.57</v>
      </c>
      <c r="G1961" s="186">
        <v>4.3035155100000004</v>
      </c>
    </row>
    <row r="1962" spans="1:7" ht="14.4">
      <c r="A1962" s="186">
        <v>1961</v>
      </c>
      <c r="B1962" s="186" t="s">
        <v>477</v>
      </c>
      <c r="C1962" s="186" t="s">
        <v>2267</v>
      </c>
      <c r="D1962" s="186">
        <v>461.4</v>
      </c>
      <c r="E1962" s="186">
        <v>7.86</v>
      </c>
      <c r="F1962" s="186">
        <v>7.57</v>
      </c>
      <c r="G1962" s="186">
        <v>4.3035155100000004</v>
      </c>
    </row>
    <row r="1963" spans="1:7" ht="14.4">
      <c r="A1963" s="186">
        <v>1962</v>
      </c>
      <c r="B1963" s="186" t="s">
        <v>1634</v>
      </c>
      <c r="C1963" s="186" t="s">
        <v>2268</v>
      </c>
      <c r="D1963" s="186">
        <v>314.39999999999998</v>
      </c>
      <c r="E1963" s="186">
        <v>7.77</v>
      </c>
      <c r="F1963" s="186">
        <v>7.57</v>
      </c>
      <c r="G1963" s="186">
        <v>4.3035155100000004</v>
      </c>
    </row>
    <row r="1964" spans="1:7" ht="14.4">
      <c r="A1964" s="186">
        <v>1963</v>
      </c>
      <c r="B1964" s="186" t="s">
        <v>2269</v>
      </c>
      <c r="C1964" s="186" t="s">
        <v>2270</v>
      </c>
      <c r="D1964" s="186">
        <v>1.3</v>
      </c>
      <c r="E1964" s="186">
        <v>7.47</v>
      </c>
      <c r="F1964" s="186">
        <v>7.57</v>
      </c>
      <c r="G1964" s="186">
        <v>4.3035155100000004</v>
      </c>
    </row>
    <row r="1965" spans="1:7" ht="14.4">
      <c r="A1965" s="186">
        <v>1964</v>
      </c>
      <c r="B1965" s="186" t="s">
        <v>1228</v>
      </c>
      <c r="C1965" s="186" t="s">
        <v>2271</v>
      </c>
      <c r="D1965" s="187">
        <v>1165.8</v>
      </c>
      <c r="E1965" s="186">
        <v>7.35</v>
      </c>
      <c r="F1965" s="186">
        <v>7.58</v>
      </c>
      <c r="G1965" s="186">
        <v>4.31152391</v>
      </c>
    </row>
    <row r="1966" spans="1:7" ht="14.4">
      <c r="A1966" s="186">
        <v>1965</v>
      </c>
      <c r="B1966" s="186" t="s">
        <v>252</v>
      </c>
      <c r="C1966" s="186" t="s">
        <v>2272</v>
      </c>
      <c r="D1966" s="186">
        <v>9.6999999999999993</v>
      </c>
      <c r="E1966" s="186">
        <v>7.81</v>
      </c>
      <c r="F1966" s="186">
        <v>7.58</v>
      </c>
      <c r="G1966" s="186">
        <v>4.31152391</v>
      </c>
    </row>
    <row r="1967" spans="1:7" ht="14.4">
      <c r="A1967" s="186">
        <v>1966</v>
      </c>
      <c r="B1967" s="186" t="s">
        <v>263</v>
      </c>
      <c r="C1967" s="186" t="s">
        <v>2273</v>
      </c>
      <c r="D1967" s="187">
        <v>1550.8</v>
      </c>
      <c r="E1967" s="186">
        <v>7.68</v>
      </c>
      <c r="F1967" s="186">
        <v>7.58</v>
      </c>
      <c r="G1967" s="186">
        <v>4.31152391</v>
      </c>
    </row>
    <row r="1968" spans="1:7" ht="14.4">
      <c r="A1968" s="186">
        <v>1967</v>
      </c>
      <c r="B1968" s="186" t="s">
        <v>263</v>
      </c>
      <c r="C1968" s="186" t="s">
        <v>2274</v>
      </c>
      <c r="D1968" s="187">
        <v>11429.4</v>
      </c>
      <c r="E1968" s="186">
        <v>7.6</v>
      </c>
      <c r="F1968" s="186">
        <v>7.58</v>
      </c>
      <c r="G1968" s="186">
        <v>4.31152391</v>
      </c>
    </row>
    <row r="1969" spans="1:7" ht="14.4">
      <c r="A1969" s="186">
        <v>1968</v>
      </c>
      <c r="B1969" s="186" t="s">
        <v>373</v>
      </c>
      <c r="C1969" s="186" t="s">
        <v>2275</v>
      </c>
      <c r="D1969" s="187">
        <v>7417.4</v>
      </c>
      <c r="E1969" s="186">
        <v>7.92</v>
      </c>
      <c r="F1969" s="186">
        <v>7.58</v>
      </c>
      <c r="G1969" s="186">
        <v>4.31152391</v>
      </c>
    </row>
    <row r="1970" spans="1:7" ht="14.4">
      <c r="A1970" s="186">
        <v>1969</v>
      </c>
      <c r="B1970" s="186" t="s">
        <v>192</v>
      </c>
      <c r="C1970" s="186" t="s">
        <v>2276</v>
      </c>
      <c r="D1970" s="186">
        <v>524.5</v>
      </c>
      <c r="E1970" s="186">
        <v>7.86</v>
      </c>
      <c r="F1970" s="186">
        <v>7.58</v>
      </c>
      <c r="G1970" s="186">
        <v>4.31152391</v>
      </c>
    </row>
    <row r="1971" spans="1:7" ht="14.4">
      <c r="A1971" s="186">
        <v>1970</v>
      </c>
      <c r="B1971" s="186" t="s">
        <v>1228</v>
      </c>
      <c r="C1971" s="186" t="s">
        <v>2277</v>
      </c>
      <c r="D1971" s="186">
        <v>523</v>
      </c>
      <c r="E1971" s="186">
        <v>7.87</v>
      </c>
      <c r="F1971" s="186">
        <v>7.59</v>
      </c>
      <c r="G1971" s="186">
        <v>4.3195464670000003</v>
      </c>
    </row>
    <row r="1972" spans="1:7" ht="14.4">
      <c r="A1972" s="186">
        <v>1971</v>
      </c>
      <c r="B1972" s="186" t="s">
        <v>1739</v>
      </c>
      <c r="C1972" s="186" t="s">
        <v>2278</v>
      </c>
      <c r="D1972" s="186">
        <v>133.5</v>
      </c>
      <c r="E1972" s="186">
        <v>7.45</v>
      </c>
      <c r="F1972" s="186">
        <v>7.59</v>
      </c>
      <c r="G1972" s="186">
        <v>4.3195464670000003</v>
      </c>
    </row>
    <row r="1973" spans="1:7" ht="14.4">
      <c r="A1973" s="186">
        <v>1972</v>
      </c>
      <c r="B1973" s="186" t="s">
        <v>178</v>
      </c>
      <c r="C1973" s="186" t="s">
        <v>2279</v>
      </c>
      <c r="D1973" s="186">
        <v>211.8</v>
      </c>
      <c r="E1973" s="186">
        <v>7.8</v>
      </c>
      <c r="F1973" s="186">
        <v>7.59</v>
      </c>
      <c r="G1973" s="186">
        <v>4.3195464670000003</v>
      </c>
    </row>
    <row r="1974" spans="1:7" ht="14.4">
      <c r="A1974" s="186">
        <v>1973</v>
      </c>
      <c r="B1974" s="186" t="s">
        <v>162</v>
      </c>
      <c r="C1974" s="186" t="s">
        <v>2280</v>
      </c>
      <c r="D1974" s="186">
        <v>65.400000000000006</v>
      </c>
      <c r="E1974" s="186">
        <v>7.3</v>
      </c>
      <c r="F1974" s="186">
        <v>7.59</v>
      </c>
      <c r="G1974" s="186">
        <v>4.3195464670000003</v>
      </c>
    </row>
    <row r="1975" spans="1:7" ht="14.4">
      <c r="A1975" s="186">
        <v>1974</v>
      </c>
      <c r="B1975" s="186" t="s">
        <v>263</v>
      </c>
      <c r="C1975" s="186" t="s">
        <v>2281</v>
      </c>
      <c r="D1975" s="186">
        <v>342.1</v>
      </c>
      <c r="E1975" s="186">
        <v>7.83</v>
      </c>
      <c r="F1975" s="186">
        <v>7.59</v>
      </c>
      <c r="G1975" s="186">
        <v>4.3195464670000003</v>
      </c>
    </row>
    <row r="1976" spans="1:7" ht="14.4">
      <c r="A1976" s="186">
        <v>1975</v>
      </c>
      <c r="B1976" s="186" t="s">
        <v>263</v>
      </c>
      <c r="C1976" s="186" t="s">
        <v>2282</v>
      </c>
      <c r="D1976" s="186">
        <v>148.4</v>
      </c>
      <c r="E1976" s="186">
        <v>7.93</v>
      </c>
      <c r="F1976" s="186">
        <v>7.59</v>
      </c>
      <c r="G1976" s="186">
        <v>4.3195464670000003</v>
      </c>
    </row>
    <row r="1977" spans="1:7" ht="14.4">
      <c r="A1977" s="186">
        <v>1976</v>
      </c>
      <c r="B1977" s="186" t="s">
        <v>307</v>
      </c>
      <c r="C1977" s="186" t="s">
        <v>2283</v>
      </c>
      <c r="D1977" s="186">
        <v>40.5</v>
      </c>
      <c r="E1977" s="186">
        <v>7.89</v>
      </c>
      <c r="F1977" s="186">
        <v>7.59</v>
      </c>
      <c r="G1977" s="186">
        <v>4.3195464670000003</v>
      </c>
    </row>
    <row r="1978" spans="1:7" ht="14.4">
      <c r="A1978" s="186">
        <v>1977</v>
      </c>
      <c r="B1978" s="186" t="s">
        <v>178</v>
      </c>
      <c r="C1978" s="186" t="s">
        <v>2284</v>
      </c>
      <c r="D1978" s="186">
        <v>0.9</v>
      </c>
      <c r="E1978" s="186">
        <v>7.81</v>
      </c>
      <c r="F1978" s="186">
        <v>7.6</v>
      </c>
      <c r="G1978" s="186">
        <v>4.3275832039999997</v>
      </c>
    </row>
    <row r="1979" spans="1:7" ht="14.4">
      <c r="A1979" s="186">
        <v>1978</v>
      </c>
      <c r="B1979" s="186" t="s">
        <v>1228</v>
      </c>
      <c r="C1979" s="186" t="s">
        <v>2285</v>
      </c>
      <c r="D1979" s="187">
        <v>2028.8</v>
      </c>
      <c r="E1979" s="186">
        <v>7.84</v>
      </c>
      <c r="F1979" s="186">
        <v>7.61</v>
      </c>
      <c r="G1979" s="186">
        <v>4.3356341450000002</v>
      </c>
    </row>
    <row r="1980" spans="1:7" ht="14.4">
      <c r="A1980" s="186">
        <v>1979</v>
      </c>
      <c r="B1980" s="186" t="s">
        <v>373</v>
      </c>
      <c r="C1980" s="186" t="s">
        <v>2286</v>
      </c>
      <c r="D1980" s="187">
        <v>3384.2</v>
      </c>
      <c r="E1980" s="186">
        <v>7.95</v>
      </c>
      <c r="F1980" s="186">
        <v>7.61</v>
      </c>
      <c r="G1980" s="186">
        <v>4.3356341450000002</v>
      </c>
    </row>
    <row r="1981" spans="1:7" ht="14.4">
      <c r="A1981" s="186">
        <v>1980</v>
      </c>
      <c r="B1981" s="186" t="s">
        <v>138</v>
      </c>
      <c r="C1981" s="186" t="s">
        <v>2287</v>
      </c>
      <c r="D1981" s="186">
        <v>189.4</v>
      </c>
      <c r="E1981" s="186">
        <v>7.99</v>
      </c>
      <c r="F1981" s="186">
        <v>7.62</v>
      </c>
      <c r="G1981" s="186">
        <v>4.3436993140000002</v>
      </c>
    </row>
    <row r="1982" spans="1:7" ht="14.4">
      <c r="A1982" s="186">
        <v>1981</v>
      </c>
      <c r="B1982" s="186" t="s">
        <v>1228</v>
      </c>
      <c r="C1982" s="186" t="s">
        <v>2288</v>
      </c>
      <c r="D1982" s="187">
        <v>4195.8</v>
      </c>
      <c r="E1982" s="186">
        <v>7.81</v>
      </c>
      <c r="F1982" s="186">
        <v>7.62</v>
      </c>
      <c r="G1982" s="186">
        <v>4.3436993140000002</v>
      </c>
    </row>
    <row r="1983" spans="1:7" ht="14.4">
      <c r="A1983" s="186">
        <v>1982</v>
      </c>
      <c r="B1983" s="186" t="s">
        <v>1228</v>
      </c>
      <c r="C1983" s="186" t="s">
        <v>2289</v>
      </c>
      <c r="D1983" s="186">
        <v>767.7</v>
      </c>
      <c r="E1983" s="186">
        <v>7.71</v>
      </c>
      <c r="F1983" s="186">
        <v>7.62</v>
      </c>
      <c r="G1983" s="186">
        <v>4.3436993140000002</v>
      </c>
    </row>
    <row r="1984" spans="1:7" ht="14.4">
      <c r="A1984" s="186">
        <v>1983</v>
      </c>
      <c r="B1984" s="186" t="s">
        <v>1228</v>
      </c>
      <c r="C1984" s="186" t="s">
        <v>2290</v>
      </c>
      <c r="D1984" s="186">
        <v>846</v>
      </c>
      <c r="E1984" s="186">
        <v>7.71</v>
      </c>
      <c r="F1984" s="186">
        <v>7.62</v>
      </c>
      <c r="G1984" s="186">
        <v>4.3436993140000002</v>
      </c>
    </row>
    <row r="1985" spans="1:7" ht="14.4">
      <c r="A1985" s="186">
        <v>1984</v>
      </c>
      <c r="B1985" s="186" t="s">
        <v>263</v>
      </c>
      <c r="C1985" s="186" t="s">
        <v>2291</v>
      </c>
      <c r="D1985" s="186">
        <v>1.1000000000000001</v>
      </c>
      <c r="E1985" s="186">
        <v>7.66</v>
      </c>
      <c r="F1985" s="186">
        <v>7.62</v>
      </c>
      <c r="G1985" s="186">
        <v>4.3436993140000002</v>
      </c>
    </row>
    <row r="1986" spans="1:7" ht="14.4">
      <c r="A1986" s="186">
        <v>1985</v>
      </c>
      <c r="B1986" s="186" t="s">
        <v>365</v>
      </c>
      <c r="C1986" s="186" t="s">
        <v>2292</v>
      </c>
      <c r="D1986" s="186">
        <v>86.6</v>
      </c>
      <c r="E1986" s="186">
        <v>7.78</v>
      </c>
      <c r="F1986" s="186">
        <v>7.62</v>
      </c>
      <c r="G1986" s="186">
        <v>4.3436993140000002</v>
      </c>
    </row>
    <row r="1987" spans="1:7" ht="14.4">
      <c r="A1987" s="186">
        <v>1986</v>
      </c>
      <c r="B1987" s="186" t="s">
        <v>340</v>
      </c>
      <c r="C1987" s="186" t="s">
        <v>2293</v>
      </c>
      <c r="D1987" s="186">
        <v>87</v>
      </c>
      <c r="E1987" s="186">
        <v>7.63</v>
      </c>
      <c r="F1987" s="186">
        <v>7.62</v>
      </c>
      <c r="G1987" s="186">
        <v>4.3436993140000002</v>
      </c>
    </row>
    <row r="1988" spans="1:7" ht="14.4">
      <c r="A1988" s="186">
        <v>1987</v>
      </c>
      <c r="B1988" s="186" t="s">
        <v>146</v>
      </c>
      <c r="C1988" s="186" t="s">
        <v>2294</v>
      </c>
      <c r="D1988" s="186">
        <v>19.5</v>
      </c>
      <c r="E1988" s="186">
        <v>7.96</v>
      </c>
      <c r="F1988" s="186">
        <v>7.63</v>
      </c>
      <c r="G1988" s="186">
        <v>4.3517787329999997</v>
      </c>
    </row>
    <row r="1989" spans="1:7" ht="14.4">
      <c r="A1989" s="186">
        <v>1988</v>
      </c>
      <c r="B1989" s="186" t="s">
        <v>373</v>
      </c>
      <c r="C1989" s="186" t="s">
        <v>2295</v>
      </c>
      <c r="D1989" s="186">
        <v>431.8</v>
      </c>
      <c r="E1989" s="186">
        <v>7.89</v>
      </c>
      <c r="F1989" s="186">
        <v>7.63</v>
      </c>
      <c r="G1989" s="186">
        <v>4.3517787329999997</v>
      </c>
    </row>
    <row r="1990" spans="1:7" ht="14.4">
      <c r="A1990" s="186">
        <v>1989</v>
      </c>
      <c r="B1990" s="186" t="s">
        <v>512</v>
      </c>
      <c r="C1990" s="186" t="s">
        <v>2296</v>
      </c>
      <c r="D1990" s="186">
        <v>224.8</v>
      </c>
      <c r="E1990" s="186">
        <v>7.84</v>
      </c>
      <c r="F1990" s="186">
        <v>7.63</v>
      </c>
      <c r="G1990" s="186">
        <v>4.3517787329999997</v>
      </c>
    </row>
    <row r="1991" spans="1:7" ht="14.4">
      <c r="A1991" s="186">
        <v>1990</v>
      </c>
      <c r="B1991" s="186" t="s">
        <v>335</v>
      </c>
      <c r="C1991" s="186" t="s">
        <v>2297</v>
      </c>
      <c r="D1991" s="186">
        <v>83.6</v>
      </c>
      <c r="E1991" s="186">
        <v>7.74</v>
      </c>
      <c r="F1991" s="186">
        <v>7.63</v>
      </c>
      <c r="G1991" s="186">
        <v>4.3517787329999997</v>
      </c>
    </row>
    <row r="1992" spans="1:7" ht="14.4">
      <c r="A1992" s="186">
        <v>1991</v>
      </c>
      <c r="B1992" s="186" t="s">
        <v>118</v>
      </c>
      <c r="C1992" s="186" t="s">
        <v>2298</v>
      </c>
      <c r="D1992" s="186">
        <v>83.1</v>
      </c>
      <c r="E1992" s="186">
        <v>7.84</v>
      </c>
      <c r="F1992" s="186">
        <v>7.63</v>
      </c>
      <c r="G1992" s="186">
        <v>4.3517787329999997</v>
      </c>
    </row>
    <row r="1993" spans="1:7" ht="14.4">
      <c r="A1993" s="186">
        <v>1992</v>
      </c>
      <c r="B1993" s="186" t="s">
        <v>1168</v>
      </c>
      <c r="C1993" s="186" t="s">
        <v>2299</v>
      </c>
      <c r="D1993" s="186">
        <v>9.1</v>
      </c>
      <c r="E1993" s="186">
        <v>7.87</v>
      </c>
      <c r="F1993" s="186">
        <v>7.64</v>
      </c>
      <c r="G1993" s="186">
        <v>4.3598724280000001</v>
      </c>
    </row>
    <row r="1994" spans="1:7" ht="14.4">
      <c r="A1994" s="186">
        <v>1993</v>
      </c>
      <c r="B1994" s="186" t="s">
        <v>1228</v>
      </c>
      <c r="C1994" s="186" t="s">
        <v>2300</v>
      </c>
      <c r="D1994" s="187">
        <v>2498.9</v>
      </c>
      <c r="E1994" s="186">
        <v>7.92</v>
      </c>
      <c r="F1994" s="186">
        <v>7.64</v>
      </c>
      <c r="G1994" s="186">
        <v>4.3598724280000001</v>
      </c>
    </row>
    <row r="1995" spans="1:7" ht="14.4">
      <c r="A1995" s="186">
        <v>1994</v>
      </c>
      <c r="B1995" s="186" t="s">
        <v>1228</v>
      </c>
      <c r="C1995" s="186" t="s">
        <v>2301</v>
      </c>
      <c r="D1995" s="186">
        <v>77.2</v>
      </c>
      <c r="E1995" s="186">
        <v>7.91</v>
      </c>
      <c r="F1995" s="186">
        <v>7.64</v>
      </c>
      <c r="G1995" s="186">
        <v>4.3598724280000001</v>
      </c>
    </row>
    <row r="1996" spans="1:7" ht="14.4">
      <c r="A1996" s="186">
        <v>1995</v>
      </c>
      <c r="B1996" s="186" t="s">
        <v>1877</v>
      </c>
      <c r="C1996" s="186" t="s">
        <v>2302</v>
      </c>
      <c r="D1996" s="187">
        <v>5856.7</v>
      </c>
      <c r="E1996" s="186">
        <v>7.62</v>
      </c>
      <c r="F1996" s="186">
        <v>7.64</v>
      </c>
      <c r="G1996" s="186">
        <v>4.3598724280000001</v>
      </c>
    </row>
    <row r="1997" spans="1:7" ht="14.4">
      <c r="A1997" s="186">
        <v>1996</v>
      </c>
      <c r="B1997" s="186" t="s">
        <v>365</v>
      </c>
      <c r="C1997" s="186" t="s">
        <v>2303</v>
      </c>
      <c r="D1997" s="186">
        <v>27.2</v>
      </c>
      <c r="E1997" s="186">
        <v>7.8</v>
      </c>
      <c r="F1997" s="186">
        <v>7.64</v>
      </c>
      <c r="G1997" s="186">
        <v>4.3598724280000001</v>
      </c>
    </row>
    <row r="1998" spans="1:7" ht="14.4">
      <c r="A1998" s="186">
        <v>1997</v>
      </c>
      <c r="B1998" s="186" t="s">
        <v>415</v>
      </c>
      <c r="C1998" s="186" t="s">
        <v>2304</v>
      </c>
      <c r="D1998" s="187">
        <v>1007.6</v>
      </c>
      <c r="E1998" s="186">
        <v>7.81</v>
      </c>
      <c r="F1998" s="186">
        <v>7.64</v>
      </c>
      <c r="G1998" s="186">
        <v>4.3598724280000001</v>
      </c>
    </row>
    <row r="1999" spans="1:7" ht="14.4">
      <c r="A1999" s="186">
        <v>1998</v>
      </c>
      <c r="B1999" s="186" t="s">
        <v>118</v>
      </c>
      <c r="C1999" s="186" t="s">
        <v>2305</v>
      </c>
      <c r="D1999" s="186">
        <v>834.8</v>
      </c>
      <c r="E1999" s="186">
        <v>7.52</v>
      </c>
      <c r="F1999" s="186">
        <v>7.64</v>
      </c>
      <c r="G1999" s="186">
        <v>4.3598724280000001</v>
      </c>
    </row>
    <row r="2000" spans="1:7" ht="14.4">
      <c r="A2000" s="186">
        <v>1999</v>
      </c>
      <c r="B2000" s="186" t="s">
        <v>213</v>
      </c>
      <c r="C2000" s="186" t="s">
        <v>2306</v>
      </c>
      <c r="D2000" s="186">
        <v>5.3</v>
      </c>
      <c r="E2000" s="186">
        <v>7.35</v>
      </c>
      <c r="F2000" s="186">
        <v>7.64</v>
      </c>
      <c r="G2000" s="186">
        <v>4.3598724280000001</v>
      </c>
    </row>
    <row r="2001" spans="1:7" ht="14.4">
      <c r="A2001" s="186">
        <v>2000</v>
      </c>
      <c r="B2001" s="186" t="s">
        <v>2307</v>
      </c>
      <c r="C2001" s="186" t="s">
        <v>2308</v>
      </c>
      <c r="D2001" s="186">
        <v>27.4</v>
      </c>
      <c r="E2001" s="186">
        <v>7.92</v>
      </c>
      <c r="F2001" s="186">
        <v>7.64</v>
      </c>
      <c r="G2001" s="186">
        <v>4.3598724280000001</v>
      </c>
    </row>
    <row r="2002" spans="1:7" ht="14.4">
      <c r="A2002" s="186">
        <v>2001</v>
      </c>
      <c r="B2002" s="186" t="s">
        <v>1228</v>
      </c>
      <c r="C2002" s="186" t="s">
        <v>2309</v>
      </c>
      <c r="D2002" s="187">
        <v>9650.2999999999993</v>
      </c>
      <c r="E2002" s="186">
        <v>7.84</v>
      </c>
      <c r="F2002" s="186">
        <v>7.65</v>
      </c>
      <c r="G2002" s="186">
        <v>4.3679804229999997</v>
      </c>
    </row>
    <row r="2003" spans="1:7" ht="14.4">
      <c r="A2003" s="186">
        <v>2002</v>
      </c>
      <c r="B2003" s="186" t="s">
        <v>1228</v>
      </c>
      <c r="C2003" s="186" t="s">
        <v>2310</v>
      </c>
      <c r="D2003" s="186">
        <v>148.1</v>
      </c>
      <c r="E2003" s="186">
        <v>7.93</v>
      </c>
      <c r="F2003" s="186">
        <v>7.65</v>
      </c>
      <c r="G2003" s="186">
        <v>4.3679804229999997</v>
      </c>
    </row>
    <row r="2004" spans="1:7" ht="14.4">
      <c r="A2004" s="186">
        <v>2003</v>
      </c>
      <c r="B2004" s="186" t="s">
        <v>1228</v>
      </c>
      <c r="C2004" s="186" t="s">
        <v>2311</v>
      </c>
      <c r="D2004" s="186">
        <v>576.9</v>
      </c>
      <c r="E2004" s="186">
        <v>7.86</v>
      </c>
      <c r="F2004" s="186">
        <v>7.65</v>
      </c>
      <c r="G2004" s="186">
        <v>4.3679804229999997</v>
      </c>
    </row>
    <row r="2005" spans="1:7" ht="14.4">
      <c r="A2005" s="186">
        <v>2004</v>
      </c>
      <c r="B2005" s="186" t="s">
        <v>2312</v>
      </c>
      <c r="C2005" s="186" t="s">
        <v>2313</v>
      </c>
      <c r="D2005" s="186">
        <v>362.5</v>
      </c>
      <c r="E2005" s="186">
        <v>8.08</v>
      </c>
      <c r="F2005" s="186">
        <v>7.65</v>
      </c>
      <c r="G2005" s="186">
        <v>4.3679804229999997</v>
      </c>
    </row>
    <row r="2006" spans="1:7" ht="14.4">
      <c r="A2006" s="186">
        <v>2005</v>
      </c>
      <c r="B2006" s="186" t="s">
        <v>178</v>
      </c>
      <c r="C2006" s="186" t="s">
        <v>2314</v>
      </c>
      <c r="D2006" s="186">
        <v>33.299999999999997</v>
      </c>
      <c r="E2006" s="186">
        <v>7.85</v>
      </c>
      <c r="F2006" s="186">
        <v>7.65</v>
      </c>
      <c r="G2006" s="186">
        <v>4.3679804229999997</v>
      </c>
    </row>
    <row r="2007" spans="1:7" ht="14.4">
      <c r="A2007" s="186">
        <v>2006</v>
      </c>
      <c r="B2007" s="186" t="s">
        <v>178</v>
      </c>
      <c r="C2007" s="186" t="s">
        <v>2315</v>
      </c>
      <c r="D2007" s="186">
        <v>14.9</v>
      </c>
      <c r="E2007" s="186">
        <v>7.88</v>
      </c>
      <c r="F2007" s="186">
        <v>7.65</v>
      </c>
      <c r="G2007" s="186">
        <v>4.3679804229999997</v>
      </c>
    </row>
    <row r="2008" spans="1:7" ht="14.4">
      <c r="A2008" s="186">
        <v>2007</v>
      </c>
      <c r="B2008" s="186" t="s">
        <v>1228</v>
      </c>
      <c r="C2008" s="186" t="s">
        <v>2316</v>
      </c>
      <c r="D2008" s="186">
        <v>763.4</v>
      </c>
      <c r="E2008" s="186">
        <v>7.94</v>
      </c>
      <c r="F2008" s="186">
        <v>7.66</v>
      </c>
      <c r="G2008" s="186">
        <v>4.3761027400000003</v>
      </c>
    </row>
    <row r="2009" spans="1:7" ht="14.4">
      <c r="A2009" s="186">
        <v>2008</v>
      </c>
      <c r="B2009" s="186" t="s">
        <v>1228</v>
      </c>
      <c r="C2009" s="186" t="s">
        <v>2317</v>
      </c>
      <c r="D2009" s="187">
        <v>61153.3</v>
      </c>
      <c r="E2009" s="186">
        <v>7.62</v>
      </c>
      <c r="F2009" s="186">
        <v>7.66</v>
      </c>
      <c r="G2009" s="186">
        <v>4.3761027400000003</v>
      </c>
    </row>
    <row r="2010" spans="1:7" ht="14.4">
      <c r="A2010" s="186">
        <v>2009</v>
      </c>
      <c r="B2010" s="186" t="s">
        <v>178</v>
      </c>
      <c r="C2010" s="186" t="s">
        <v>2318</v>
      </c>
      <c r="D2010" s="186">
        <v>0.1</v>
      </c>
      <c r="E2010" s="186">
        <v>7.55</v>
      </c>
      <c r="F2010" s="186">
        <v>7.66</v>
      </c>
      <c r="G2010" s="186">
        <v>4.3761027400000003</v>
      </c>
    </row>
    <row r="2011" spans="1:7" ht="14.4">
      <c r="A2011" s="186">
        <v>2010</v>
      </c>
      <c r="B2011" s="186" t="s">
        <v>175</v>
      </c>
      <c r="C2011" s="186" t="s">
        <v>2319</v>
      </c>
      <c r="D2011" s="186">
        <v>45</v>
      </c>
      <c r="E2011" s="186">
        <v>7.76</v>
      </c>
      <c r="F2011" s="186">
        <v>7.66</v>
      </c>
      <c r="G2011" s="186">
        <v>4.3761027400000003</v>
      </c>
    </row>
    <row r="2012" spans="1:7" ht="14.4">
      <c r="A2012" s="186">
        <v>2011</v>
      </c>
      <c r="B2012" s="186" t="s">
        <v>373</v>
      </c>
      <c r="C2012" s="186" t="s">
        <v>2320</v>
      </c>
      <c r="D2012" s="186">
        <v>29.4</v>
      </c>
      <c r="E2012" s="186">
        <v>7.92</v>
      </c>
      <c r="F2012" s="186">
        <v>7.66</v>
      </c>
      <c r="G2012" s="186">
        <v>4.3761027400000003</v>
      </c>
    </row>
    <row r="2013" spans="1:7" ht="14.4">
      <c r="A2013" s="186">
        <v>2012</v>
      </c>
      <c r="B2013" s="186" t="s">
        <v>834</v>
      </c>
      <c r="C2013" s="186" t="s">
        <v>2321</v>
      </c>
      <c r="D2013" s="186">
        <v>510.8</v>
      </c>
      <c r="E2013" s="186">
        <v>7.07</v>
      </c>
      <c r="F2013" s="186">
        <v>7.66</v>
      </c>
      <c r="G2013" s="186">
        <v>4.3761027400000003</v>
      </c>
    </row>
    <row r="2014" spans="1:7" ht="14.4">
      <c r="A2014" s="186">
        <v>2013</v>
      </c>
      <c r="B2014" s="186" t="s">
        <v>319</v>
      </c>
      <c r="C2014" s="186" t="s">
        <v>2322</v>
      </c>
      <c r="D2014" s="186">
        <v>3.3</v>
      </c>
      <c r="E2014" s="186">
        <v>8.0500000000000007</v>
      </c>
      <c r="F2014" s="186">
        <v>7.66</v>
      </c>
      <c r="G2014" s="186">
        <v>4.3761027400000003</v>
      </c>
    </row>
    <row r="2015" spans="1:7" ht="14.4">
      <c r="A2015" s="186">
        <v>2014</v>
      </c>
      <c r="B2015" s="186" t="s">
        <v>821</v>
      </c>
      <c r="C2015" s="186" t="s">
        <v>2323</v>
      </c>
      <c r="D2015" s="186">
        <v>400.5</v>
      </c>
      <c r="E2015" s="186">
        <v>7.63</v>
      </c>
      <c r="F2015" s="186">
        <v>7.66</v>
      </c>
      <c r="G2015" s="186">
        <v>4.3761027400000003</v>
      </c>
    </row>
    <row r="2016" spans="1:7" ht="14.4">
      <c r="A2016" s="186">
        <v>2015</v>
      </c>
      <c r="B2016" s="186" t="s">
        <v>1168</v>
      </c>
      <c r="C2016" s="186" t="s">
        <v>2324</v>
      </c>
      <c r="D2016" s="186">
        <v>26.1</v>
      </c>
      <c r="E2016" s="186">
        <v>7.89</v>
      </c>
      <c r="F2016" s="186">
        <v>7.67</v>
      </c>
      <c r="G2016" s="186">
        <v>4.3842394039999997</v>
      </c>
    </row>
    <row r="2017" spans="1:7" ht="14.4">
      <c r="A2017" s="186">
        <v>2016</v>
      </c>
      <c r="B2017" s="186" t="s">
        <v>1228</v>
      </c>
      <c r="C2017" s="186" t="s">
        <v>2325</v>
      </c>
      <c r="D2017" s="187">
        <v>2138.9</v>
      </c>
      <c r="E2017" s="186">
        <v>7.94</v>
      </c>
      <c r="F2017" s="186">
        <v>7.67</v>
      </c>
      <c r="G2017" s="186">
        <v>4.3842394039999997</v>
      </c>
    </row>
    <row r="2018" spans="1:7" ht="14.4">
      <c r="A2018" s="186">
        <v>2017</v>
      </c>
      <c r="B2018" s="186" t="s">
        <v>1228</v>
      </c>
      <c r="C2018" s="186" t="s">
        <v>2326</v>
      </c>
      <c r="D2018" s="186">
        <v>2.7</v>
      </c>
      <c r="E2018" s="186">
        <v>7.95</v>
      </c>
      <c r="F2018" s="186">
        <v>7.67</v>
      </c>
      <c r="G2018" s="186">
        <v>4.3842394039999997</v>
      </c>
    </row>
    <row r="2019" spans="1:7" ht="14.4">
      <c r="A2019" s="186">
        <v>2018</v>
      </c>
      <c r="B2019" s="186" t="s">
        <v>1877</v>
      </c>
      <c r="C2019" s="186" t="s">
        <v>2327</v>
      </c>
      <c r="D2019" s="187">
        <v>2213.1999999999998</v>
      </c>
      <c r="E2019" s="186">
        <v>7.64</v>
      </c>
      <c r="F2019" s="186">
        <v>7.67</v>
      </c>
      <c r="G2019" s="186">
        <v>4.3842394039999997</v>
      </c>
    </row>
    <row r="2020" spans="1:7" ht="14.4">
      <c r="A2020" s="186">
        <v>2019</v>
      </c>
      <c r="B2020" s="186" t="s">
        <v>271</v>
      </c>
      <c r="C2020" s="186" t="s">
        <v>2328</v>
      </c>
      <c r="D2020" s="186">
        <v>0.1</v>
      </c>
      <c r="E2020" s="186">
        <v>7.97</v>
      </c>
      <c r="F2020" s="186">
        <v>7.67</v>
      </c>
      <c r="G2020" s="186">
        <v>4.3842394039999997</v>
      </c>
    </row>
    <row r="2021" spans="1:7" ht="14.4">
      <c r="A2021" s="186">
        <v>2020</v>
      </c>
      <c r="B2021" s="186" t="s">
        <v>178</v>
      </c>
      <c r="C2021" s="186" t="s">
        <v>2329</v>
      </c>
      <c r="D2021" s="186">
        <v>10.9</v>
      </c>
      <c r="E2021" s="186">
        <v>7.88</v>
      </c>
      <c r="F2021" s="186">
        <v>7.67</v>
      </c>
      <c r="G2021" s="186">
        <v>4.3842394039999997</v>
      </c>
    </row>
    <row r="2022" spans="1:7" ht="14.4">
      <c r="A2022" s="186">
        <v>2021</v>
      </c>
      <c r="B2022" s="186" t="s">
        <v>153</v>
      </c>
      <c r="C2022" s="186" t="s">
        <v>2330</v>
      </c>
      <c r="D2022" s="186">
        <v>656.1</v>
      </c>
      <c r="E2022" s="186">
        <v>7.29</v>
      </c>
      <c r="F2022" s="186">
        <v>7.67</v>
      </c>
      <c r="G2022" s="186">
        <v>4.3842394039999997</v>
      </c>
    </row>
    <row r="2023" spans="1:7" ht="14.4">
      <c r="A2023" s="186">
        <v>2022</v>
      </c>
      <c r="B2023" s="186" t="s">
        <v>263</v>
      </c>
      <c r="C2023" s="186" t="s">
        <v>2331</v>
      </c>
      <c r="D2023" s="186">
        <v>512.29999999999995</v>
      </c>
      <c r="E2023" s="186">
        <v>8.0299999999999994</v>
      </c>
      <c r="F2023" s="186">
        <v>7.67</v>
      </c>
      <c r="G2023" s="186">
        <v>4.3842394039999997</v>
      </c>
    </row>
    <row r="2024" spans="1:7" ht="14.4">
      <c r="A2024" s="186">
        <v>2023</v>
      </c>
      <c r="B2024" s="186" t="s">
        <v>226</v>
      </c>
      <c r="C2024" s="186" t="s">
        <v>2332</v>
      </c>
      <c r="D2024" s="186">
        <v>73.2</v>
      </c>
      <c r="E2024" s="186">
        <v>7.75</v>
      </c>
      <c r="F2024" s="186">
        <v>7.67</v>
      </c>
      <c r="G2024" s="186">
        <v>4.3842394039999997</v>
      </c>
    </row>
    <row r="2025" spans="1:7" ht="14.4">
      <c r="A2025" s="186">
        <v>2024</v>
      </c>
      <c r="B2025" s="186" t="s">
        <v>307</v>
      </c>
      <c r="C2025" s="186" t="s">
        <v>2333</v>
      </c>
      <c r="D2025" s="187">
        <v>3120.4</v>
      </c>
      <c r="E2025" s="186">
        <v>7.32</v>
      </c>
      <c r="F2025" s="186">
        <v>7.67</v>
      </c>
      <c r="G2025" s="186">
        <v>4.3842394039999997</v>
      </c>
    </row>
    <row r="2026" spans="1:7" ht="14.4">
      <c r="A2026" s="186">
        <v>2025</v>
      </c>
      <c r="B2026" s="186" t="s">
        <v>2208</v>
      </c>
      <c r="C2026" s="186" t="s">
        <v>2334</v>
      </c>
      <c r="D2026" s="186">
        <v>463.5</v>
      </c>
      <c r="E2026" s="186">
        <v>8.01</v>
      </c>
      <c r="F2026" s="186">
        <v>7.67</v>
      </c>
      <c r="G2026" s="186">
        <v>4.3842394039999997</v>
      </c>
    </row>
    <row r="2027" spans="1:7" ht="14.4">
      <c r="A2027" s="186">
        <v>2026</v>
      </c>
      <c r="B2027" s="186" t="s">
        <v>1228</v>
      </c>
      <c r="C2027" s="186" t="s">
        <v>2335</v>
      </c>
      <c r="D2027" s="187">
        <v>20765.400000000001</v>
      </c>
      <c r="E2027" s="186">
        <v>7.44</v>
      </c>
      <c r="F2027" s="186">
        <v>7.68</v>
      </c>
      <c r="G2027" s="186">
        <v>4.3923904399999998</v>
      </c>
    </row>
    <row r="2028" spans="1:7" ht="14.4">
      <c r="A2028" s="186">
        <v>2027</v>
      </c>
      <c r="B2028" s="186" t="s">
        <v>226</v>
      </c>
      <c r="C2028" s="186" t="s">
        <v>2336</v>
      </c>
      <c r="D2028" s="186">
        <v>3.2</v>
      </c>
      <c r="E2028" s="186">
        <v>7.44</v>
      </c>
      <c r="F2028" s="186">
        <v>7.68</v>
      </c>
      <c r="G2028" s="186">
        <v>4.3923904399999998</v>
      </c>
    </row>
    <row r="2029" spans="1:7" ht="14.4">
      <c r="A2029" s="186">
        <v>2028</v>
      </c>
      <c r="B2029" s="186" t="s">
        <v>1634</v>
      </c>
      <c r="C2029" s="186" t="s">
        <v>2337</v>
      </c>
      <c r="D2029" s="186">
        <v>271.5</v>
      </c>
      <c r="E2029" s="186">
        <v>7.89</v>
      </c>
      <c r="F2029" s="186">
        <v>7.68</v>
      </c>
      <c r="G2029" s="186">
        <v>4.3923904399999998</v>
      </c>
    </row>
    <row r="2030" spans="1:7" ht="14.4">
      <c r="A2030" s="186">
        <v>2029</v>
      </c>
      <c r="B2030" s="186" t="s">
        <v>1228</v>
      </c>
      <c r="C2030" s="186" t="s">
        <v>2338</v>
      </c>
      <c r="D2030" s="186">
        <v>107.8</v>
      </c>
      <c r="E2030" s="186">
        <v>7.77</v>
      </c>
      <c r="F2030" s="186">
        <v>7.69</v>
      </c>
      <c r="G2030" s="186">
        <v>4.4005558699999998</v>
      </c>
    </row>
    <row r="2031" spans="1:7" ht="14.4">
      <c r="A2031" s="186">
        <v>2030</v>
      </c>
      <c r="B2031" s="186" t="s">
        <v>1228</v>
      </c>
      <c r="C2031" s="186" t="s">
        <v>2339</v>
      </c>
      <c r="D2031" s="187">
        <v>1022.7</v>
      </c>
      <c r="E2031" s="186">
        <v>7.77</v>
      </c>
      <c r="F2031" s="186">
        <v>7.69</v>
      </c>
      <c r="G2031" s="186">
        <v>4.4005558699999998</v>
      </c>
    </row>
    <row r="2032" spans="1:7" ht="14.4">
      <c r="A2032" s="186">
        <v>2031</v>
      </c>
      <c r="B2032" s="186" t="s">
        <v>1228</v>
      </c>
      <c r="C2032" s="186" t="s">
        <v>2340</v>
      </c>
      <c r="D2032" s="186">
        <v>11.2</v>
      </c>
      <c r="E2032" s="186">
        <v>7.78</v>
      </c>
      <c r="F2032" s="186">
        <v>7.69</v>
      </c>
      <c r="G2032" s="186">
        <v>4.4005558699999998</v>
      </c>
    </row>
    <row r="2033" spans="1:7" ht="14.4">
      <c r="A2033" s="186">
        <v>2032</v>
      </c>
      <c r="B2033" s="186" t="s">
        <v>178</v>
      </c>
      <c r="C2033" s="186" t="s">
        <v>2341</v>
      </c>
      <c r="D2033" s="186">
        <v>0.1</v>
      </c>
      <c r="E2033" s="186">
        <v>8.0500000000000007</v>
      </c>
      <c r="F2033" s="186">
        <v>7.69</v>
      </c>
      <c r="G2033" s="186">
        <v>4.4005558699999998</v>
      </c>
    </row>
    <row r="2034" spans="1:7" ht="14.4">
      <c r="A2034" s="186">
        <v>2033</v>
      </c>
      <c r="B2034" s="186" t="s">
        <v>335</v>
      </c>
      <c r="C2034" s="186" t="s">
        <v>2342</v>
      </c>
      <c r="D2034" s="186">
        <v>19.2</v>
      </c>
      <c r="E2034" s="186">
        <v>7.92</v>
      </c>
      <c r="F2034" s="186">
        <v>7.69</v>
      </c>
      <c r="G2034" s="186">
        <v>4.4005558699999998</v>
      </c>
    </row>
    <row r="2035" spans="1:7" ht="14.4">
      <c r="A2035" s="186">
        <v>2034</v>
      </c>
      <c r="B2035" s="186" t="s">
        <v>118</v>
      </c>
      <c r="C2035" s="186" t="s">
        <v>2343</v>
      </c>
      <c r="D2035" s="186">
        <v>24.1</v>
      </c>
      <c r="E2035" s="186">
        <v>7.89</v>
      </c>
      <c r="F2035" s="186">
        <v>7.69</v>
      </c>
      <c r="G2035" s="186">
        <v>4.4005558699999998</v>
      </c>
    </row>
    <row r="2036" spans="1:7" ht="14.4">
      <c r="A2036" s="186">
        <v>2035</v>
      </c>
      <c r="B2036" s="186" t="s">
        <v>118</v>
      </c>
      <c r="C2036" s="186" t="s">
        <v>2344</v>
      </c>
      <c r="D2036" s="186">
        <v>11.9</v>
      </c>
      <c r="E2036" s="186">
        <v>7.91</v>
      </c>
      <c r="F2036" s="186">
        <v>7.69</v>
      </c>
      <c r="G2036" s="186">
        <v>4.4005558699999998</v>
      </c>
    </row>
    <row r="2037" spans="1:7" ht="14.4">
      <c r="A2037" s="186">
        <v>2036</v>
      </c>
      <c r="B2037" s="186" t="s">
        <v>663</v>
      </c>
      <c r="C2037" s="186" t="s">
        <v>2345</v>
      </c>
      <c r="D2037" s="186">
        <v>64.5</v>
      </c>
      <c r="E2037" s="186">
        <v>7.96</v>
      </c>
      <c r="F2037" s="186">
        <v>7.69</v>
      </c>
      <c r="G2037" s="186">
        <v>4.4005558699999998</v>
      </c>
    </row>
    <row r="2038" spans="1:7" ht="14.4">
      <c r="A2038" s="186">
        <v>2037</v>
      </c>
      <c r="B2038" s="186" t="s">
        <v>187</v>
      </c>
      <c r="C2038" s="186" t="s">
        <v>2346</v>
      </c>
      <c r="D2038" s="187">
        <v>2560.6</v>
      </c>
      <c r="E2038" s="186">
        <v>7.59</v>
      </c>
      <c r="F2038" s="186">
        <v>7.69</v>
      </c>
      <c r="G2038" s="186">
        <v>4.4005558699999998</v>
      </c>
    </row>
    <row r="2039" spans="1:7" ht="14.4">
      <c r="A2039" s="186">
        <v>2038</v>
      </c>
      <c r="B2039" s="186" t="s">
        <v>138</v>
      </c>
      <c r="C2039" s="186" t="s">
        <v>2347</v>
      </c>
      <c r="D2039" s="186">
        <v>0.2</v>
      </c>
      <c r="E2039" s="186">
        <v>8.07</v>
      </c>
      <c r="F2039" s="186">
        <v>7.7</v>
      </c>
      <c r="G2039" s="186">
        <v>4.4087357200000001</v>
      </c>
    </row>
    <row r="2040" spans="1:7" ht="14.4">
      <c r="A2040" s="186">
        <v>2039</v>
      </c>
      <c r="B2040" s="186" t="s">
        <v>138</v>
      </c>
      <c r="C2040" s="186" t="s">
        <v>2348</v>
      </c>
      <c r="D2040" s="187">
        <v>2275</v>
      </c>
      <c r="E2040" s="186">
        <v>7.95</v>
      </c>
      <c r="F2040" s="186">
        <v>7.7</v>
      </c>
      <c r="G2040" s="186">
        <v>4.4087357200000001</v>
      </c>
    </row>
    <row r="2041" spans="1:7" ht="14.4">
      <c r="A2041" s="186">
        <v>2040</v>
      </c>
      <c r="B2041" s="186" t="s">
        <v>571</v>
      </c>
      <c r="C2041" s="186" t="s">
        <v>2349</v>
      </c>
      <c r="D2041" s="186">
        <v>170.5</v>
      </c>
      <c r="E2041" s="186">
        <v>7.96</v>
      </c>
      <c r="F2041" s="186">
        <v>7.7</v>
      </c>
      <c r="G2041" s="186">
        <v>4.4087357200000001</v>
      </c>
    </row>
    <row r="2042" spans="1:7" ht="14.4">
      <c r="A2042" s="186">
        <v>2041</v>
      </c>
      <c r="B2042" s="186" t="s">
        <v>2350</v>
      </c>
      <c r="C2042" s="186" t="s">
        <v>2351</v>
      </c>
      <c r="D2042" s="186">
        <v>237.3</v>
      </c>
      <c r="E2042" s="186">
        <v>7.99</v>
      </c>
      <c r="F2042" s="186">
        <v>7.7</v>
      </c>
      <c r="G2042" s="186">
        <v>4.4087357200000001</v>
      </c>
    </row>
    <row r="2043" spans="1:7" ht="14.4">
      <c r="A2043" s="186">
        <v>2042</v>
      </c>
      <c r="B2043" s="186" t="s">
        <v>178</v>
      </c>
      <c r="C2043" s="186" t="s">
        <v>2352</v>
      </c>
      <c r="D2043" s="186">
        <v>0.1</v>
      </c>
      <c r="E2043" s="186">
        <v>7.93</v>
      </c>
      <c r="F2043" s="186">
        <v>7.7</v>
      </c>
      <c r="G2043" s="186">
        <v>4.4087357200000001</v>
      </c>
    </row>
    <row r="2044" spans="1:7" ht="14.4">
      <c r="A2044" s="186">
        <v>2043</v>
      </c>
      <c r="B2044" s="186" t="s">
        <v>146</v>
      </c>
      <c r="C2044" s="186" t="s">
        <v>2353</v>
      </c>
      <c r="D2044" s="186">
        <v>134.69999999999999</v>
      </c>
      <c r="E2044" s="186">
        <v>8.2100000000000009</v>
      </c>
      <c r="F2044" s="186">
        <v>7.7</v>
      </c>
      <c r="G2044" s="186">
        <v>4.4087357200000001</v>
      </c>
    </row>
    <row r="2045" spans="1:7" ht="14.4">
      <c r="A2045" s="186">
        <v>2044</v>
      </c>
      <c r="B2045" s="186" t="s">
        <v>213</v>
      </c>
      <c r="C2045" s="186" t="s">
        <v>2354</v>
      </c>
      <c r="D2045" s="186">
        <v>69.400000000000006</v>
      </c>
      <c r="E2045" s="186">
        <v>7.9</v>
      </c>
      <c r="F2045" s="186">
        <v>7.7</v>
      </c>
      <c r="G2045" s="186">
        <v>4.4087357200000001</v>
      </c>
    </row>
    <row r="2046" spans="1:7" ht="14.4">
      <c r="A2046" s="186">
        <v>2045</v>
      </c>
      <c r="B2046" s="186" t="s">
        <v>340</v>
      </c>
      <c r="C2046" s="186" t="s">
        <v>2355</v>
      </c>
      <c r="D2046" s="186">
        <v>206.4</v>
      </c>
      <c r="E2046" s="186">
        <v>8.0500000000000007</v>
      </c>
      <c r="F2046" s="186">
        <v>7.7</v>
      </c>
      <c r="G2046" s="186">
        <v>4.4087357200000001</v>
      </c>
    </row>
    <row r="2047" spans="1:7" ht="14.4">
      <c r="A2047" s="186">
        <v>2046</v>
      </c>
      <c r="B2047" s="186" t="s">
        <v>241</v>
      </c>
      <c r="C2047" s="186" t="s">
        <v>2356</v>
      </c>
      <c r="D2047" s="186">
        <v>39.5</v>
      </c>
      <c r="E2047" s="186">
        <v>7.82</v>
      </c>
      <c r="F2047" s="186">
        <v>7.71</v>
      </c>
      <c r="G2047" s="186">
        <v>4.416930013</v>
      </c>
    </row>
    <row r="2048" spans="1:7" ht="14.4">
      <c r="A2048" s="186">
        <v>2047</v>
      </c>
      <c r="B2048" s="186" t="s">
        <v>1228</v>
      </c>
      <c r="C2048" s="186" t="s">
        <v>2357</v>
      </c>
      <c r="D2048" s="186">
        <v>344</v>
      </c>
      <c r="E2048" s="186">
        <v>7.9</v>
      </c>
      <c r="F2048" s="186">
        <v>7.71</v>
      </c>
      <c r="G2048" s="186">
        <v>4.416930013</v>
      </c>
    </row>
    <row r="2049" spans="1:7" ht="14.4">
      <c r="A2049" s="186">
        <v>2048</v>
      </c>
      <c r="B2049" s="186" t="s">
        <v>178</v>
      </c>
      <c r="C2049" s="186" t="s">
        <v>2358</v>
      </c>
      <c r="D2049" s="186">
        <v>40</v>
      </c>
      <c r="E2049" s="186">
        <v>7.92</v>
      </c>
      <c r="F2049" s="186">
        <v>7.71</v>
      </c>
      <c r="G2049" s="186">
        <v>4.416930013</v>
      </c>
    </row>
    <row r="2050" spans="1:7" ht="14.4">
      <c r="A2050" s="186">
        <v>2049</v>
      </c>
      <c r="B2050" s="186" t="s">
        <v>834</v>
      </c>
      <c r="C2050" s="186" t="s">
        <v>2359</v>
      </c>
      <c r="D2050" s="186">
        <v>794.8</v>
      </c>
      <c r="E2050" s="186">
        <v>7.7</v>
      </c>
      <c r="F2050" s="186">
        <v>7.71</v>
      </c>
      <c r="G2050" s="186">
        <v>4.416930013</v>
      </c>
    </row>
    <row r="2051" spans="1:7" ht="14.4">
      <c r="A2051" s="186">
        <v>2050</v>
      </c>
      <c r="B2051" s="186" t="s">
        <v>280</v>
      </c>
      <c r="C2051" s="186" t="s">
        <v>2360</v>
      </c>
      <c r="D2051" s="186">
        <v>346</v>
      </c>
      <c r="E2051" s="186">
        <v>8</v>
      </c>
      <c r="F2051" s="186">
        <v>7.71</v>
      </c>
      <c r="G2051" s="186">
        <v>4.416930013</v>
      </c>
    </row>
    <row r="2052" spans="1:7" ht="14.4">
      <c r="A2052" s="186">
        <v>2051</v>
      </c>
      <c r="B2052" s="186" t="s">
        <v>271</v>
      </c>
      <c r="C2052" s="186" t="s">
        <v>2361</v>
      </c>
      <c r="D2052" s="186">
        <v>68.7</v>
      </c>
      <c r="E2052" s="186">
        <v>8.01</v>
      </c>
      <c r="F2052" s="186">
        <v>7.72</v>
      </c>
      <c r="G2052" s="186">
        <v>4.4251387729999996</v>
      </c>
    </row>
    <row r="2053" spans="1:7" ht="14.4">
      <c r="A2053" s="186">
        <v>2052</v>
      </c>
      <c r="B2053" s="186" t="s">
        <v>178</v>
      </c>
      <c r="C2053" s="186" t="s">
        <v>2362</v>
      </c>
      <c r="D2053" s="186">
        <v>11.3</v>
      </c>
      <c r="E2053" s="186">
        <v>8.07</v>
      </c>
      <c r="F2053" s="186">
        <v>7.72</v>
      </c>
      <c r="G2053" s="186">
        <v>4.4251387729999996</v>
      </c>
    </row>
    <row r="2054" spans="1:7" ht="14.4">
      <c r="A2054" s="186">
        <v>2053</v>
      </c>
      <c r="B2054" s="186" t="s">
        <v>2363</v>
      </c>
      <c r="C2054" s="186" t="s">
        <v>2364</v>
      </c>
      <c r="D2054" s="186">
        <v>27.8</v>
      </c>
      <c r="E2054" s="186">
        <v>8.14</v>
      </c>
      <c r="F2054" s="186">
        <v>7.72</v>
      </c>
      <c r="G2054" s="186">
        <v>4.4251387729999996</v>
      </c>
    </row>
    <row r="2055" spans="1:7" ht="14.4">
      <c r="A2055" s="186">
        <v>2054</v>
      </c>
      <c r="B2055" s="186" t="s">
        <v>280</v>
      </c>
      <c r="C2055" s="186" t="s">
        <v>2365</v>
      </c>
      <c r="D2055" s="186">
        <v>230.8</v>
      </c>
      <c r="E2055" s="186">
        <v>7.72</v>
      </c>
      <c r="F2055" s="186">
        <v>7.72</v>
      </c>
      <c r="G2055" s="186">
        <v>4.4251387729999996</v>
      </c>
    </row>
    <row r="2056" spans="1:7" ht="14.4">
      <c r="A2056" s="186">
        <v>2055</v>
      </c>
      <c r="B2056" s="186" t="s">
        <v>213</v>
      </c>
      <c r="C2056" s="186" t="s">
        <v>2366</v>
      </c>
      <c r="D2056" s="187">
        <v>8088.6</v>
      </c>
      <c r="E2056" s="186">
        <v>7.62</v>
      </c>
      <c r="F2056" s="186">
        <v>7.73</v>
      </c>
      <c r="G2056" s="186">
        <v>4.4333620250000001</v>
      </c>
    </row>
    <row r="2057" spans="1:7" ht="14.4">
      <c r="A2057" s="186">
        <v>2056</v>
      </c>
      <c r="B2057" s="186" t="s">
        <v>138</v>
      </c>
      <c r="C2057" s="186" t="s">
        <v>2367</v>
      </c>
      <c r="D2057" s="186">
        <v>1.1000000000000001</v>
      </c>
      <c r="E2057" s="186">
        <v>7.58</v>
      </c>
      <c r="F2057" s="186">
        <v>7.74</v>
      </c>
      <c r="G2057" s="186">
        <v>4.441599793</v>
      </c>
    </row>
    <row r="2058" spans="1:7" ht="14.4">
      <c r="A2058" s="186">
        <v>2057</v>
      </c>
      <c r="B2058" s="186" t="s">
        <v>178</v>
      </c>
      <c r="C2058" s="186" t="s">
        <v>2368</v>
      </c>
      <c r="D2058" s="186">
        <v>0.4</v>
      </c>
      <c r="E2058" s="186">
        <v>7.96</v>
      </c>
      <c r="F2058" s="186">
        <v>7.74</v>
      </c>
      <c r="G2058" s="186">
        <v>4.441599793</v>
      </c>
    </row>
    <row r="2059" spans="1:7" ht="14.4">
      <c r="A2059" s="186">
        <v>2058</v>
      </c>
      <c r="B2059" s="186" t="s">
        <v>122</v>
      </c>
      <c r="C2059" s="186" t="s">
        <v>2369</v>
      </c>
      <c r="D2059" s="186">
        <v>722.6</v>
      </c>
      <c r="E2059" s="186">
        <v>7.97</v>
      </c>
      <c r="F2059" s="186">
        <v>7.74</v>
      </c>
      <c r="G2059" s="186">
        <v>4.441599793</v>
      </c>
    </row>
    <row r="2060" spans="1:7" ht="14.4">
      <c r="A2060" s="186">
        <v>2059</v>
      </c>
      <c r="B2060" s="186" t="s">
        <v>536</v>
      </c>
      <c r="C2060" s="186" t="s">
        <v>2370</v>
      </c>
      <c r="D2060" s="187">
        <v>2627.3</v>
      </c>
      <c r="E2060" s="186">
        <v>7.85</v>
      </c>
      <c r="F2060" s="186">
        <v>7.74</v>
      </c>
      <c r="G2060" s="186">
        <v>4.441599793</v>
      </c>
    </row>
    <row r="2061" spans="1:7" ht="14.4">
      <c r="A2061" s="186">
        <v>2060</v>
      </c>
      <c r="B2061" s="186" t="s">
        <v>536</v>
      </c>
      <c r="C2061" s="186" t="s">
        <v>2371</v>
      </c>
      <c r="D2061" s="187">
        <v>3082.3</v>
      </c>
      <c r="E2061" s="186">
        <v>8.1</v>
      </c>
      <c r="F2061" s="186">
        <v>7.74</v>
      </c>
      <c r="G2061" s="186">
        <v>4.441599793</v>
      </c>
    </row>
    <row r="2062" spans="1:7" ht="14.4">
      <c r="A2062" s="186">
        <v>2061</v>
      </c>
      <c r="B2062" s="186" t="s">
        <v>365</v>
      </c>
      <c r="C2062" s="186" t="s">
        <v>2372</v>
      </c>
      <c r="D2062" s="186">
        <v>0.6</v>
      </c>
      <c r="E2062" s="186">
        <v>8.1</v>
      </c>
      <c r="F2062" s="186">
        <v>7.74</v>
      </c>
      <c r="G2062" s="186">
        <v>4.441599793</v>
      </c>
    </row>
    <row r="2063" spans="1:7" ht="14.4">
      <c r="A2063" s="186">
        <v>2062</v>
      </c>
      <c r="B2063" s="186" t="s">
        <v>146</v>
      </c>
      <c r="C2063" s="186" t="s">
        <v>2373</v>
      </c>
      <c r="D2063" s="186">
        <v>990.4</v>
      </c>
      <c r="E2063" s="186">
        <v>7.89</v>
      </c>
      <c r="F2063" s="186">
        <v>7.74</v>
      </c>
      <c r="G2063" s="186">
        <v>4.441599793</v>
      </c>
    </row>
    <row r="2064" spans="1:7" ht="14.4">
      <c r="A2064" s="186">
        <v>2063</v>
      </c>
      <c r="B2064" s="186" t="s">
        <v>2374</v>
      </c>
      <c r="C2064" s="186" t="s">
        <v>2375</v>
      </c>
      <c r="D2064" s="186">
        <v>926.6</v>
      </c>
      <c r="E2064" s="186">
        <v>8.2799999999999994</v>
      </c>
      <c r="F2064" s="186">
        <v>7.74</v>
      </c>
      <c r="G2064" s="186">
        <v>4.441599793</v>
      </c>
    </row>
    <row r="2065" spans="1:7" ht="14.4">
      <c r="A2065" s="186">
        <v>2064</v>
      </c>
      <c r="B2065" s="186" t="s">
        <v>1297</v>
      </c>
      <c r="C2065" s="186" t="s">
        <v>2376</v>
      </c>
      <c r="D2065" s="186">
        <v>226.5</v>
      </c>
      <c r="E2065" s="186">
        <v>8.1199999999999992</v>
      </c>
      <c r="F2065" s="186">
        <v>7.74</v>
      </c>
      <c r="G2065" s="186">
        <v>4.441599793</v>
      </c>
    </row>
    <row r="2066" spans="1:7" ht="14.4">
      <c r="A2066" s="186">
        <v>2065</v>
      </c>
      <c r="B2066" s="186" t="s">
        <v>340</v>
      </c>
      <c r="C2066" s="186" t="s">
        <v>2377</v>
      </c>
      <c r="D2066" s="186">
        <v>49.5</v>
      </c>
      <c r="E2066" s="186">
        <v>7.73</v>
      </c>
      <c r="F2066" s="186">
        <v>7.74</v>
      </c>
      <c r="G2066" s="186">
        <v>4.441599793</v>
      </c>
    </row>
    <row r="2067" spans="1:7" ht="14.4">
      <c r="A2067" s="186">
        <v>2066</v>
      </c>
      <c r="B2067" s="186" t="s">
        <v>234</v>
      </c>
      <c r="C2067" s="186" t="s">
        <v>2378</v>
      </c>
      <c r="D2067" s="186">
        <v>133</v>
      </c>
      <c r="E2067" s="186">
        <v>7.88</v>
      </c>
      <c r="F2067" s="186">
        <v>7.75</v>
      </c>
      <c r="G2067" s="186">
        <v>4.4498521010000003</v>
      </c>
    </row>
    <row r="2068" spans="1:7" ht="14.4">
      <c r="A2068" s="186">
        <v>2067</v>
      </c>
      <c r="B2068" s="186" t="s">
        <v>234</v>
      </c>
      <c r="C2068" s="186" t="s">
        <v>2379</v>
      </c>
      <c r="D2068" s="186">
        <v>130</v>
      </c>
      <c r="E2068" s="186">
        <v>8.15</v>
      </c>
      <c r="F2068" s="186">
        <v>7.75</v>
      </c>
      <c r="G2068" s="186">
        <v>4.4498521010000003</v>
      </c>
    </row>
    <row r="2069" spans="1:7" ht="14.4">
      <c r="A2069" s="186">
        <v>2068</v>
      </c>
      <c r="B2069" s="186" t="s">
        <v>175</v>
      </c>
      <c r="C2069" s="186" t="s">
        <v>2380</v>
      </c>
      <c r="D2069" s="186">
        <v>87.7</v>
      </c>
      <c r="E2069" s="186">
        <v>7.98</v>
      </c>
      <c r="F2069" s="186">
        <v>7.75</v>
      </c>
      <c r="G2069" s="186">
        <v>4.4498521010000003</v>
      </c>
    </row>
    <row r="2070" spans="1:7" ht="14.4">
      <c r="A2070" s="186">
        <v>2069</v>
      </c>
      <c r="B2070" s="186" t="s">
        <v>335</v>
      </c>
      <c r="C2070" s="186" t="s">
        <v>2381</v>
      </c>
      <c r="D2070" s="186">
        <v>637.1</v>
      </c>
      <c r="E2070" s="186">
        <v>7.97</v>
      </c>
      <c r="F2070" s="186">
        <v>7.75</v>
      </c>
      <c r="G2070" s="186">
        <v>4.4498521010000003</v>
      </c>
    </row>
    <row r="2071" spans="1:7" ht="14.4">
      <c r="A2071" s="186">
        <v>2070</v>
      </c>
      <c r="B2071" s="186" t="s">
        <v>2382</v>
      </c>
      <c r="C2071" s="186" t="s">
        <v>2383</v>
      </c>
      <c r="D2071" s="187">
        <v>4184.8</v>
      </c>
      <c r="E2071" s="186">
        <v>8.0500000000000007</v>
      </c>
      <c r="F2071" s="186">
        <v>7.75</v>
      </c>
      <c r="G2071" s="186">
        <v>4.4498521010000003</v>
      </c>
    </row>
    <row r="2072" spans="1:7" ht="14.4">
      <c r="A2072" s="186">
        <v>2071</v>
      </c>
      <c r="B2072" s="186" t="s">
        <v>2384</v>
      </c>
      <c r="C2072" s="186" t="s">
        <v>2385</v>
      </c>
      <c r="D2072" s="186">
        <v>286.2</v>
      </c>
      <c r="E2072" s="186">
        <v>7.73</v>
      </c>
      <c r="F2072" s="186">
        <v>7.75</v>
      </c>
      <c r="G2072" s="186">
        <v>4.4498521010000003</v>
      </c>
    </row>
    <row r="2073" spans="1:7" ht="14.4">
      <c r="A2073" s="186">
        <v>2072</v>
      </c>
      <c r="B2073" s="186" t="s">
        <v>1228</v>
      </c>
      <c r="C2073" s="186" t="s">
        <v>2386</v>
      </c>
      <c r="D2073" s="187">
        <v>4155.6000000000004</v>
      </c>
      <c r="E2073" s="186">
        <v>8.0399999999999991</v>
      </c>
      <c r="F2073" s="186">
        <v>7.76</v>
      </c>
      <c r="G2073" s="186">
        <v>4.4581189739999996</v>
      </c>
    </row>
    <row r="2074" spans="1:7" ht="14.4">
      <c r="A2074" s="186">
        <v>2073</v>
      </c>
      <c r="B2074" s="186" t="s">
        <v>1228</v>
      </c>
      <c r="C2074" s="186" t="s">
        <v>2387</v>
      </c>
      <c r="D2074" s="186">
        <v>5.8</v>
      </c>
      <c r="E2074" s="186">
        <v>7.9</v>
      </c>
      <c r="F2074" s="186">
        <v>7.76</v>
      </c>
      <c r="G2074" s="186">
        <v>4.4581189739999996</v>
      </c>
    </row>
    <row r="2075" spans="1:7" ht="14.4">
      <c r="A2075" s="186">
        <v>2074</v>
      </c>
      <c r="B2075" s="186" t="s">
        <v>340</v>
      </c>
      <c r="C2075" s="186" t="s">
        <v>2388</v>
      </c>
      <c r="D2075" s="186">
        <v>12.4</v>
      </c>
      <c r="E2075" s="186">
        <v>8.09</v>
      </c>
      <c r="F2075" s="186">
        <v>7.76</v>
      </c>
      <c r="G2075" s="186">
        <v>4.4581189739999996</v>
      </c>
    </row>
    <row r="2076" spans="1:7" ht="14.4">
      <c r="A2076" s="186">
        <v>2075</v>
      </c>
      <c r="B2076" s="186" t="s">
        <v>138</v>
      </c>
      <c r="C2076" s="186" t="s">
        <v>2389</v>
      </c>
      <c r="D2076" s="186">
        <v>198.4</v>
      </c>
      <c r="E2076" s="186">
        <v>8.02</v>
      </c>
      <c r="F2076" s="186">
        <v>7.77</v>
      </c>
      <c r="G2076" s="186">
        <v>4.4664004349999997</v>
      </c>
    </row>
    <row r="2077" spans="1:7" ht="14.4">
      <c r="A2077" s="186">
        <v>2076</v>
      </c>
      <c r="B2077" s="186" t="s">
        <v>178</v>
      </c>
      <c r="C2077" s="186" t="s">
        <v>2390</v>
      </c>
      <c r="D2077" s="186">
        <v>64.900000000000006</v>
      </c>
      <c r="E2077" s="186">
        <v>7.33</v>
      </c>
      <c r="F2077" s="186">
        <v>7.77</v>
      </c>
      <c r="G2077" s="186">
        <v>4.4664004349999997</v>
      </c>
    </row>
    <row r="2078" spans="1:7" ht="14.4">
      <c r="A2078" s="186">
        <v>2077</v>
      </c>
      <c r="B2078" s="186" t="s">
        <v>178</v>
      </c>
      <c r="C2078" s="186" t="s">
        <v>2391</v>
      </c>
      <c r="D2078" s="186">
        <v>0.1</v>
      </c>
      <c r="E2078" s="186">
        <v>7.52</v>
      </c>
      <c r="F2078" s="186">
        <v>7.77</v>
      </c>
      <c r="G2078" s="186">
        <v>4.4664004349999997</v>
      </c>
    </row>
    <row r="2079" spans="1:7" ht="14.4">
      <c r="A2079" s="186">
        <v>2078</v>
      </c>
      <c r="B2079" s="186" t="s">
        <v>178</v>
      </c>
      <c r="C2079" s="186" t="s">
        <v>2392</v>
      </c>
      <c r="D2079" s="186">
        <v>35</v>
      </c>
      <c r="E2079" s="186">
        <v>7.98</v>
      </c>
      <c r="F2079" s="186">
        <v>7.77</v>
      </c>
      <c r="G2079" s="186">
        <v>4.4664004349999997</v>
      </c>
    </row>
    <row r="2080" spans="1:7" ht="14.4">
      <c r="A2080" s="186">
        <v>2079</v>
      </c>
      <c r="B2080" s="186" t="s">
        <v>178</v>
      </c>
      <c r="C2080" s="186" t="s">
        <v>2393</v>
      </c>
      <c r="D2080" s="186">
        <v>815.7</v>
      </c>
      <c r="E2080" s="186">
        <v>7.99</v>
      </c>
      <c r="F2080" s="186">
        <v>7.77</v>
      </c>
      <c r="G2080" s="186">
        <v>4.4664004349999997</v>
      </c>
    </row>
    <row r="2081" spans="1:7" ht="14.4">
      <c r="A2081" s="186">
        <v>2080</v>
      </c>
      <c r="B2081" s="186" t="s">
        <v>210</v>
      </c>
      <c r="C2081" s="186" t="s">
        <v>2394</v>
      </c>
      <c r="D2081" s="186">
        <v>21.3</v>
      </c>
      <c r="E2081" s="186">
        <v>8.06</v>
      </c>
      <c r="F2081" s="186">
        <v>7.77</v>
      </c>
      <c r="G2081" s="186">
        <v>4.4664004349999997</v>
      </c>
    </row>
    <row r="2082" spans="1:7" ht="14.4">
      <c r="A2082" s="186">
        <v>2081</v>
      </c>
      <c r="B2082" s="186" t="s">
        <v>483</v>
      </c>
      <c r="C2082" s="186" t="s">
        <v>2395</v>
      </c>
      <c r="D2082" s="186">
        <v>55.7</v>
      </c>
      <c r="E2082" s="186">
        <v>8.2100000000000009</v>
      </c>
      <c r="F2082" s="186">
        <v>7.78</v>
      </c>
      <c r="G2082" s="186">
        <v>4.4746965100000002</v>
      </c>
    </row>
    <row r="2083" spans="1:7" ht="14.4">
      <c r="A2083" s="186">
        <v>2082</v>
      </c>
      <c r="B2083" s="186" t="s">
        <v>175</v>
      </c>
      <c r="C2083" s="186" t="s">
        <v>2396</v>
      </c>
      <c r="D2083" s="186">
        <v>81.400000000000006</v>
      </c>
      <c r="E2083" s="186">
        <v>8.11</v>
      </c>
      <c r="F2083" s="186">
        <v>7.78</v>
      </c>
      <c r="G2083" s="186">
        <v>4.4746965100000002</v>
      </c>
    </row>
    <row r="2084" spans="1:7" ht="14.4">
      <c r="A2084" s="186">
        <v>2083</v>
      </c>
      <c r="B2084" s="186" t="s">
        <v>263</v>
      </c>
      <c r="C2084" s="186" t="s">
        <v>2397</v>
      </c>
      <c r="D2084" s="186">
        <v>832.7</v>
      </c>
      <c r="E2084" s="186">
        <v>7.59</v>
      </c>
      <c r="F2084" s="186">
        <v>7.78</v>
      </c>
      <c r="G2084" s="186">
        <v>4.4746965100000002</v>
      </c>
    </row>
    <row r="2085" spans="1:7" ht="14.4">
      <c r="A2085" s="186">
        <v>2084</v>
      </c>
      <c r="B2085" s="186" t="s">
        <v>373</v>
      </c>
      <c r="C2085" s="186" t="s">
        <v>2398</v>
      </c>
      <c r="D2085" s="186">
        <v>0.5</v>
      </c>
      <c r="E2085" s="186">
        <v>7.89</v>
      </c>
      <c r="F2085" s="186">
        <v>7.78</v>
      </c>
      <c r="G2085" s="186">
        <v>4.4746965100000002</v>
      </c>
    </row>
    <row r="2086" spans="1:7" ht="14.4">
      <c r="A2086" s="186">
        <v>2085</v>
      </c>
      <c r="B2086" s="186" t="s">
        <v>213</v>
      </c>
      <c r="C2086" s="186" t="s">
        <v>2399</v>
      </c>
      <c r="D2086" s="186">
        <v>18.100000000000001</v>
      </c>
      <c r="E2086" s="186">
        <v>7.68</v>
      </c>
      <c r="F2086" s="186">
        <v>7.78</v>
      </c>
      <c r="G2086" s="186">
        <v>4.4746965100000002</v>
      </c>
    </row>
    <row r="2087" spans="1:7" ht="14.4">
      <c r="A2087" s="186">
        <v>2086</v>
      </c>
      <c r="B2087" s="186" t="s">
        <v>1761</v>
      </c>
      <c r="C2087" s="186" t="s">
        <v>2400</v>
      </c>
      <c r="D2087" s="186">
        <v>4.9000000000000004</v>
      </c>
      <c r="E2087" s="186">
        <v>7.96</v>
      </c>
      <c r="F2087" s="186">
        <v>7.78</v>
      </c>
      <c r="G2087" s="186">
        <v>4.4746965100000002</v>
      </c>
    </row>
    <row r="2088" spans="1:7" ht="14.4">
      <c r="A2088" s="186">
        <v>2087</v>
      </c>
      <c r="B2088" s="186" t="s">
        <v>1228</v>
      </c>
      <c r="C2088" s="186" t="s">
        <v>2401</v>
      </c>
      <c r="D2088" s="187">
        <v>10145.5</v>
      </c>
      <c r="E2088" s="186">
        <v>8.07</v>
      </c>
      <c r="F2088" s="186">
        <v>7.79</v>
      </c>
      <c r="G2088" s="186">
        <v>4.4830072220000003</v>
      </c>
    </row>
    <row r="2089" spans="1:7" ht="14.4">
      <c r="A2089" s="186">
        <v>2088</v>
      </c>
      <c r="B2089" s="186" t="s">
        <v>175</v>
      </c>
      <c r="C2089" s="186" t="s">
        <v>2402</v>
      </c>
      <c r="D2089" s="186">
        <v>305.3</v>
      </c>
      <c r="E2089" s="186">
        <v>7.99</v>
      </c>
      <c r="F2089" s="186">
        <v>7.79</v>
      </c>
      <c r="G2089" s="186">
        <v>4.4830072220000003</v>
      </c>
    </row>
    <row r="2090" spans="1:7" ht="14.4">
      <c r="A2090" s="186">
        <v>2089</v>
      </c>
      <c r="B2090" s="186" t="s">
        <v>146</v>
      </c>
      <c r="C2090" s="186" t="s">
        <v>2403</v>
      </c>
      <c r="D2090" s="186">
        <v>32.9</v>
      </c>
      <c r="E2090" s="186">
        <v>8.08</v>
      </c>
      <c r="F2090" s="186">
        <v>7.79</v>
      </c>
      <c r="G2090" s="186">
        <v>4.4830072220000003</v>
      </c>
    </row>
    <row r="2091" spans="1:7" ht="14.4">
      <c r="A2091" s="186">
        <v>2090</v>
      </c>
      <c r="B2091" s="186" t="s">
        <v>373</v>
      </c>
      <c r="C2091" s="186" t="s">
        <v>2404</v>
      </c>
      <c r="D2091" s="186">
        <v>3.8</v>
      </c>
      <c r="E2091" s="186">
        <v>8.14</v>
      </c>
      <c r="F2091" s="186">
        <v>7.79</v>
      </c>
      <c r="G2091" s="186">
        <v>4.4830072220000003</v>
      </c>
    </row>
    <row r="2092" spans="1:7" ht="14.4">
      <c r="A2092" s="186">
        <v>2091</v>
      </c>
      <c r="B2092" s="186" t="s">
        <v>415</v>
      </c>
      <c r="C2092" s="186" t="s">
        <v>2405</v>
      </c>
      <c r="D2092" s="186">
        <v>169</v>
      </c>
      <c r="E2092" s="186">
        <v>8.06</v>
      </c>
      <c r="F2092" s="186">
        <v>7.79</v>
      </c>
      <c r="G2092" s="186">
        <v>4.4830072220000003</v>
      </c>
    </row>
    <row r="2093" spans="1:7" ht="14.4">
      <c r="A2093" s="186">
        <v>2092</v>
      </c>
      <c r="B2093" s="186" t="s">
        <v>317</v>
      </c>
      <c r="C2093" s="186" t="s">
        <v>2406</v>
      </c>
      <c r="D2093" s="186">
        <v>526.9</v>
      </c>
      <c r="E2093" s="186">
        <v>7.97</v>
      </c>
      <c r="F2093" s="186">
        <v>7.79</v>
      </c>
      <c r="G2093" s="186">
        <v>4.4830072220000003</v>
      </c>
    </row>
    <row r="2094" spans="1:7" ht="14.4">
      <c r="A2094" s="186">
        <v>2093</v>
      </c>
      <c r="B2094" s="186" t="s">
        <v>365</v>
      </c>
      <c r="C2094" s="186" t="s">
        <v>2407</v>
      </c>
      <c r="D2094" s="186">
        <v>404.5</v>
      </c>
      <c r="E2094" s="186">
        <v>8.16</v>
      </c>
      <c r="F2094" s="186">
        <v>7.8</v>
      </c>
      <c r="G2094" s="186">
        <v>4.4913325960000003</v>
      </c>
    </row>
    <row r="2095" spans="1:7" ht="14.4">
      <c r="A2095" s="186">
        <v>2094</v>
      </c>
      <c r="B2095" s="186" t="s">
        <v>373</v>
      </c>
      <c r="C2095" s="186" t="s">
        <v>2408</v>
      </c>
      <c r="D2095" s="186">
        <v>311.5</v>
      </c>
      <c r="E2095" s="186">
        <v>7.96</v>
      </c>
      <c r="F2095" s="186">
        <v>7.8</v>
      </c>
      <c r="G2095" s="186">
        <v>4.4913325960000003</v>
      </c>
    </row>
    <row r="2096" spans="1:7" ht="14.4">
      <c r="A2096" s="186">
        <v>2095</v>
      </c>
      <c r="B2096" s="186" t="s">
        <v>288</v>
      </c>
      <c r="C2096" s="186" t="s">
        <v>2409</v>
      </c>
      <c r="D2096" s="186">
        <v>37.200000000000003</v>
      </c>
      <c r="E2096" s="186">
        <v>7.87</v>
      </c>
      <c r="F2096" s="186">
        <v>7.8</v>
      </c>
      <c r="G2096" s="186">
        <v>4.4913325960000003</v>
      </c>
    </row>
    <row r="2097" spans="1:7" ht="14.4">
      <c r="A2097" s="186">
        <v>2096</v>
      </c>
      <c r="B2097" s="186" t="s">
        <v>288</v>
      </c>
      <c r="C2097" s="186" t="s">
        <v>2410</v>
      </c>
      <c r="D2097" s="186">
        <v>81.5</v>
      </c>
      <c r="E2097" s="186">
        <v>7.87</v>
      </c>
      <c r="F2097" s="186">
        <v>7.8</v>
      </c>
      <c r="G2097" s="186">
        <v>4.4913325960000003</v>
      </c>
    </row>
    <row r="2098" spans="1:7" ht="14.4">
      <c r="A2098" s="186">
        <v>2097</v>
      </c>
      <c r="B2098" s="186" t="s">
        <v>348</v>
      </c>
      <c r="C2098" s="186" t="s">
        <v>2411</v>
      </c>
      <c r="D2098" s="186">
        <v>97.3</v>
      </c>
      <c r="E2098" s="186">
        <v>8.08</v>
      </c>
      <c r="F2098" s="186">
        <v>7.8</v>
      </c>
      <c r="G2098" s="186">
        <v>4.4913325960000003</v>
      </c>
    </row>
    <row r="2099" spans="1:7" ht="14.4">
      <c r="A2099" s="186">
        <v>2098</v>
      </c>
      <c r="B2099" s="186" t="s">
        <v>175</v>
      </c>
      <c r="C2099" s="186" t="s">
        <v>2412</v>
      </c>
      <c r="D2099" s="186">
        <v>48.6</v>
      </c>
      <c r="E2099" s="186">
        <v>7.72</v>
      </c>
      <c r="F2099" s="186">
        <v>7.81</v>
      </c>
      <c r="G2099" s="186">
        <v>4.4996726569999996</v>
      </c>
    </row>
    <row r="2100" spans="1:7" ht="14.4">
      <c r="A2100" s="186">
        <v>2099</v>
      </c>
      <c r="B2100" s="186" t="s">
        <v>153</v>
      </c>
      <c r="C2100" s="186" t="s">
        <v>2413</v>
      </c>
      <c r="D2100" s="187">
        <v>3351.9</v>
      </c>
      <c r="E2100" s="186">
        <v>8.1199999999999992</v>
      </c>
      <c r="F2100" s="186">
        <v>7.81</v>
      </c>
      <c r="G2100" s="186">
        <v>4.4996726569999996</v>
      </c>
    </row>
    <row r="2101" spans="1:7" ht="14.4">
      <c r="A2101" s="186">
        <v>2100</v>
      </c>
      <c r="B2101" s="186" t="s">
        <v>373</v>
      </c>
      <c r="C2101" s="186" t="s">
        <v>2414</v>
      </c>
      <c r="D2101" s="187">
        <v>1587.5</v>
      </c>
      <c r="E2101" s="186">
        <v>7.88</v>
      </c>
      <c r="F2101" s="186">
        <v>7.81</v>
      </c>
      <c r="G2101" s="186">
        <v>4.4996726569999996</v>
      </c>
    </row>
    <row r="2102" spans="1:7" ht="14.4">
      <c r="A2102" s="186">
        <v>2101</v>
      </c>
      <c r="B2102" s="186" t="s">
        <v>187</v>
      </c>
      <c r="C2102" s="186" t="s">
        <v>2415</v>
      </c>
      <c r="D2102" s="187">
        <v>3274.6</v>
      </c>
      <c r="E2102" s="186">
        <v>7.94</v>
      </c>
      <c r="F2102" s="186">
        <v>7.81</v>
      </c>
      <c r="G2102" s="186">
        <v>4.4996726569999996</v>
      </c>
    </row>
    <row r="2103" spans="1:7" ht="14.4">
      <c r="A2103" s="186">
        <v>2102</v>
      </c>
      <c r="B2103" s="186" t="s">
        <v>138</v>
      </c>
      <c r="C2103" s="186" t="s">
        <v>2416</v>
      </c>
      <c r="D2103" s="186">
        <v>460.2</v>
      </c>
      <c r="E2103" s="186">
        <v>8.08</v>
      </c>
      <c r="F2103" s="186">
        <v>7.82</v>
      </c>
      <c r="G2103" s="186">
        <v>4.5080274290000002</v>
      </c>
    </row>
    <row r="2104" spans="1:7" ht="14.4">
      <c r="A2104" s="186">
        <v>2103</v>
      </c>
      <c r="B2104" s="186" t="s">
        <v>1228</v>
      </c>
      <c r="C2104" s="186" t="s">
        <v>2417</v>
      </c>
      <c r="D2104" s="187">
        <v>2734.8</v>
      </c>
      <c r="E2104" s="186">
        <v>7.9</v>
      </c>
      <c r="F2104" s="186">
        <v>7.82</v>
      </c>
      <c r="G2104" s="186">
        <v>4.5080274290000002</v>
      </c>
    </row>
    <row r="2105" spans="1:7" ht="14.4">
      <c r="A2105" s="186">
        <v>2104</v>
      </c>
      <c r="B2105" s="186" t="s">
        <v>178</v>
      </c>
      <c r="C2105" s="186" t="s">
        <v>2418</v>
      </c>
      <c r="D2105" s="186">
        <v>4.0999999999999996</v>
      </c>
      <c r="E2105" s="186">
        <v>7.7</v>
      </c>
      <c r="F2105" s="186">
        <v>7.82</v>
      </c>
      <c r="G2105" s="186">
        <v>4.5080274290000002</v>
      </c>
    </row>
    <row r="2106" spans="1:7" ht="14.4">
      <c r="A2106" s="186">
        <v>2105</v>
      </c>
      <c r="B2106" s="186" t="s">
        <v>178</v>
      </c>
      <c r="C2106" s="186" t="s">
        <v>2419</v>
      </c>
      <c r="D2106" s="186">
        <v>51.3</v>
      </c>
      <c r="E2106" s="186">
        <v>8.0299999999999994</v>
      </c>
      <c r="F2106" s="186">
        <v>7.82</v>
      </c>
      <c r="G2106" s="186">
        <v>4.5080274290000002</v>
      </c>
    </row>
    <row r="2107" spans="1:7" ht="14.4">
      <c r="A2107" s="186">
        <v>2106</v>
      </c>
      <c r="B2107" s="186" t="s">
        <v>536</v>
      </c>
      <c r="C2107" s="186" t="s">
        <v>2420</v>
      </c>
      <c r="D2107" s="187">
        <v>2774</v>
      </c>
      <c r="E2107" s="186">
        <v>8.01</v>
      </c>
      <c r="F2107" s="186">
        <v>7.82</v>
      </c>
      <c r="G2107" s="186">
        <v>4.5080274290000002</v>
      </c>
    </row>
    <row r="2108" spans="1:7" ht="14.4">
      <c r="A2108" s="186">
        <v>2107</v>
      </c>
      <c r="B2108" s="186" t="s">
        <v>536</v>
      </c>
      <c r="C2108" s="186" t="s">
        <v>2421</v>
      </c>
      <c r="D2108" s="186">
        <v>986.4</v>
      </c>
      <c r="E2108" s="186">
        <v>8.16</v>
      </c>
      <c r="F2108" s="186">
        <v>7.82</v>
      </c>
      <c r="G2108" s="186">
        <v>4.5080274290000002</v>
      </c>
    </row>
    <row r="2109" spans="1:7" ht="14.4">
      <c r="A2109" s="186">
        <v>2108</v>
      </c>
      <c r="B2109" s="186" t="s">
        <v>373</v>
      </c>
      <c r="C2109" s="186" t="s">
        <v>2422</v>
      </c>
      <c r="D2109" s="186">
        <v>0.2</v>
      </c>
      <c r="E2109" s="186">
        <v>7.93</v>
      </c>
      <c r="F2109" s="186">
        <v>7.82</v>
      </c>
      <c r="G2109" s="186">
        <v>4.5080274290000002</v>
      </c>
    </row>
    <row r="2110" spans="1:7" ht="14.4">
      <c r="A2110" s="186">
        <v>2109</v>
      </c>
      <c r="B2110" s="186" t="s">
        <v>395</v>
      </c>
      <c r="C2110" s="186" t="s">
        <v>2423</v>
      </c>
      <c r="D2110" s="186">
        <v>187.2</v>
      </c>
      <c r="E2110" s="186">
        <v>8.08</v>
      </c>
      <c r="F2110" s="186">
        <v>7.82</v>
      </c>
      <c r="G2110" s="186">
        <v>4.5080274290000002</v>
      </c>
    </row>
    <row r="2111" spans="1:7" ht="14.4">
      <c r="A2111" s="186">
        <v>2110</v>
      </c>
      <c r="B2111" s="186" t="s">
        <v>477</v>
      </c>
      <c r="C2111" s="186" t="s">
        <v>2424</v>
      </c>
      <c r="D2111" s="186">
        <v>1.4</v>
      </c>
      <c r="E2111" s="186">
        <v>8.07</v>
      </c>
      <c r="F2111" s="186">
        <v>7.82</v>
      </c>
      <c r="G2111" s="186">
        <v>4.5080274290000002</v>
      </c>
    </row>
    <row r="2112" spans="1:7" ht="14.4">
      <c r="A2112" s="186">
        <v>2111</v>
      </c>
      <c r="B2112" s="186" t="s">
        <v>307</v>
      </c>
      <c r="C2112" s="186" t="s">
        <v>2425</v>
      </c>
      <c r="D2112" s="186">
        <v>233</v>
      </c>
      <c r="E2112" s="186">
        <v>8.17</v>
      </c>
      <c r="F2112" s="186">
        <v>7.82</v>
      </c>
      <c r="G2112" s="186">
        <v>4.5080274290000002</v>
      </c>
    </row>
    <row r="2113" spans="1:7" ht="14.4">
      <c r="A2113" s="186">
        <v>2112</v>
      </c>
      <c r="B2113" s="186" t="s">
        <v>1290</v>
      </c>
      <c r="C2113" s="186" t="s">
        <v>2426</v>
      </c>
      <c r="D2113" s="186">
        <v>2.5</v>
      </c>
      <c r="E2113" s="186">
        <v>7.97</v>
      </c>
      <c r="F2113" s="186">
        <v>7.82</v>
      </c>
      <c r="G2113" s="186">
        <v>4.5080274290000002</v>
      </c>
    </row>
    <row r="2114" spans="1:7" ht="14.4">
      <c r="A2114" s="186">
        <v>2113</v>
      </c>
      <c r="B2114" s="186" t="s">
        <v>1319</v>
      </c>
      <c r="C2114" s="186" t="s">
        <v>2427</v>
      </c>
      <c r="D2114" s="186">
        <v>775.8</v>
      </c>
      <c r="E2114" s="186">
        <v>7.82</v>
      </c>
      <c r="F2114" s="186">
        <v>7.82</v>
      </c>
      <c r="G2114" s="186">
        <v>4.5080274290000002</v>
      </c>
    </row>
    <row r="2115" spans="1:7" ht="14.4">
      <c r="A2115" s="186">
        <v>2114</v>
      </c>
      <c r="B2115" s="186" t="s">
        <v>138</v>
      </c>
      <c r="C2115" s="186" t="s">
        <v>2428</v>
      </c>
      <c r="D2115" s="186">
        <v>692.5</v>
      </c>
      <c r="E2115" s="186">
        <v>8</v>
      </c>
      <c r="F2115" s="186">
        <v>7.83</v>
      </c>
      <c r="G2115" s="186">
        <v>4.5163969369999997</v>
      </c>
    </row>
    <row r="2116" spans="1:7" ht="14.4">
      <c r="A2116" s="186">
        <v>2115</v>
      </c>
      <c r="B2116" s="186" t="s">
        <v>178</v>
      </c>
      <c r="C2116" s="186" t="s">
        <v>2429</v>
      </c>
      <c r="D2116" s="186">
        <v>12.5</v>
      </c>
      <c r="E2116" s="186">
        <v>8.0500000000000007</v>
      </c>
      <c r="F2116" s="186">
        <v>7.83</v>
      </c>
      <c r="G2116" s="186">
        <v>4.5163969369999997</v>
      </c>
    </row>
    <row r="2117" spans="1:7" ht="14.4">
      <c r="A2117" s="186">
        <v>2116</v>
      </c>
      <c r="B2117" s="186" t="s">
        <v>146</v>
      </c>
      <c r="C2117" s="944" t="s">
        <v>2430</v>
      </c>
      <c r="D2117" s="187">
        <v>1145.2</v>
      </c>
      <c r="E2117" s="186" t="s">
        <v>152</v>
      </c>
      <c r="F2117" s="186">
        <v>7.83</v>
      </c>
      <c r="G2117" s="186">
        <v>4.5163969369999997</v>
      </c>
    </row>
    <row r="2118" spans="1:7" ht="14.4">
      <c r="A2118" s="186">
        <v>2117</v>
      </c>
      <c r="B2118" s="186" t="s">
        <v>1185</v>
      </c>
      <c r="C2118" s="186" t="s">
        <v>2431</v>
      </c>
      <c r="D2118" s="187">
        <v>10195.200000000001</v>
      </c>
      <c r="E2118" s="186">
        <v>8.01</v>
      </c>
      <c r="F2118" s="186">
        <v>7.83</v>
      </c>
      <c r="G2118" s="186">
        <v>4.5163969369999997</v>
      </c>
    </row>
    <row r="2119" spans="1:7" ht="14.4">
      <c r="A2119" s="186">
        <v>2118</v>
      </c>
      <c r="B2119" s="186" t="s">
        <v>271</v>
      </c>
      <c r="C2119" s="186" t="s">
        <v>2432</v>
      </c>
      <c r="D2119" s="186">
        <v>30.3</v>
      </c>
      <c r="E2119" s="186">
        <v>8.07</v>
      </c>
      <c r="F2119" s="186">
        <v>7.84</v>
      </c>
      <c r="G2119" s="186">
        <v>4.524781205</v>
      </c>
    </row>
    <row r="2120" spans="1:7" ht="14.4">
      <c r="A2120" s="186">
        <v>2119</v>
      </c>
      <c r="B2120" s="186" t="s">
        <v>2433</v>
      </c>
      <c r="C2120" s="186" t="s">
        <v>2434</v>
      </c>
      <c r="D2120" s="187">
        <v>1126.9000000000001</v>
      </c>
      <c r="E2120" s="186">
        <v>8.02</v>
      </c>
      <c r="F2120" s="186">
        <v>7.84</v>
      </c>
      <c r="G2120" s="186">
        <v>4.524781205</v>
      </c>
    </row>
    <row r="2121" spans="1:7" ht="14.4">
      <c r="A2121" s="186">
        <v>2120</v>
      </c>
      <c r="B2121" s="186" t="s">
        <v>175</v>
      </c>
      <c r="C2121" s="186" t="s">
        <v>2435</v>
      </c>
      <c r="D2121" s="186">
        <v>48.2</v>
      </c>
      <c r="E2121" s="186">
        <v>7.87</v>
      </c>
      <c r="F2121" s="186">
        <v>7.84</v>
      </c>
      <c r="G2121" s="186">
        <v>4.524781205</v>
      </c>
    </row>
    <row r="2122" spans="1:7" ht="14.4">
      <c r="A2122" s="186">
        <v>2121</v>
      </c>
      <c r="B2122" s="186" t="s">
        <v>175</v>
      </c>
      <c r="C2122" s="186" t="s">
        <v>2436</v>
      </c>
      <c r="D2122" s="186">
        <v>261.2</v>
      </c>
      <c r="E2122" s="186">
        <v>7.95</v>
      </c>
      <c r="F2122" s="186">
        <v>7.84</v>
      </c>
      <c r="G2122" s="186">
        <v>4.524781205</v>
      </c>
    </row>
    <row r="2123" spans="1:7" ht="14.4">
      <c r="A2123" s="186">
        <v>2122</v>
      </c>
      <c r="B2123" s="186" t="s">
        <v>153</v>
      </c>
      <c r="C2123" s="186" t="s">
        <v>2437</v>
      </c>
      <c r="D2123" s="187">
        <v>1175.5</v>
      </c>
      <c r="E2123" s="186">
        <v>7.87</v>
      </c>
      <c r="F2123" s="186">
        <v>7.84</v>
      </c>
      <c r="G2123" s="186">
        <v>4.524781205</v>
      </c>
    </row>
    <row r="2124" spans="1:7" ht="14.4">
      <c r="A2124" s="186">
        <v>2123</v>
      </c>
      <c r="B2124" s="186" t="s">
        <v>536</v>
      </c>
      <c r="C2124" s="186" t="s">
        <v>2438</v>
      </c>
      <c r="D2124" s="186">
        <v>0.7</v>
      </c>
      <c r="E2124" s="186">
        <v>8.0299999999999994</v>
      </c>
      <c r="F2124" s="186">
        <v>7.84</v>
      </c>
      <c r="G2124" s="186">
        <v>4.524781205</v>
      </c>
    </row>
    <row r="2125" spans="1:7" ht="14.4">
      <c r="A2125" s="186">
        <v>2124</v>
      </c>
      <c r="B2125" s="186" t="s">
        <v>365</v>
      </c>
      <c r="C2125" s="186" t="s">
        <v>2439</v>
      </c>
      <c r="D2125" s="186">
        <v>131.9</v>
      </c>
      <c r="E2125" s="186">
        <v>8.06</v>
      </c>
      <c r="F2125" s="186">
        <v>7.84</v>
      </c>
      <c r="G2125" s="186">
        <v>4.524781205</v>
      </c>
    </row>
    <row r="2126" spans="1:7" ht="14.4">
      <c r="A2126" s="186">
        <v>2125</v>
      </c>
      <c r="B2126" s="186" t="s">
        <v>1605</v>
      </c>
      <c r="C2126" s="186" t="s">
        <v>2440</v>
      </c>
      <c r="D2126" s="186">
        <v>178.8</v>
      </c>
      <c r="E2126" s="186">
        <v>8.27</v>
      </c>
      <c r="F2126" s="186">
        <v>7.84</v>
      </c>
      <c r="G2126" s="186">
        <v>4.524781205</v>
      </c>
    </row>
    <row r="2127" spans="1:7" ht="14.4">
      <c r="A2127" s="186">
        <v>2126</v>
      </c>
      <c r="B2127" s="186" t="s">
        <v>146</v>
      </c>
      <c r="C2127" s="944" t="s">
        <v>2441</v>
      </c>
      <c r="D2127" s="186">
        <v>3.2</v>
      </c>
      <c r="E2127" s="186">
        <v>8.15</v>
      </c>
      <c r="F2127" s="186">
        <v>7.84</v>
      </c>
      <c r="G2127" s="186">
        <v>4.524781205</v>
      </c>
    </row>
    <row r="2128" spans="1:7" ht="14.4">
      <c r="A2128" s="186">
        <v>2127</v>
      </c>
      <c r="B2128" s="186" t="s">
        <v>373</v>
      </c>
      <c r="C2128" s="186" t="s">
        <v>2442</v>
      </c>
      <c r="D2128" s="187">
        <v>1293.3</v>
      </c>
      <c r="E2128" s="186">
        <v>7.99</v>
      </c>
      <c r="F2128" s="186">
        <v>7.84</v>
      </c>
      <c r="G2128" s="186">
        <v>4.524781205</v>
      </c>
    </row>
    <row r="2129" spans="1:7" ht="14.4">
      <c r="A2129" s="186">
        <v>2128</v>
      </c>
      <c r="B2129" s="186" t="s">
        <v>2443</v>
      </c>
      <c r="C2129" s="186" t="s">
        <v>2444</v>
      </c>
      <c r="D2129" s="187">
        <v>14983.1</v>
      </c>
      <c r="E2129" s="186">
        <v>7.98</v>
      </c>
      <c r="F2129" s="186">
        <v>7.84</v>
      </c>
      <c r="G2129" s="186">
        <v>4.524781205</v>
      </c>
    </row>
    <row r="2130" spans="1:7" ht="14.4">
      <c r="A2130" s="186">
        <v>2129</v>
      </c>
      <c r="B2130" s="186" t="s">
        <v>1228</v>
      </c>
      <c r="C2130" s="186" t="s">
        <v>2445</v>
      </c>
      <c r="D2130" s="186">
        <v>298.10000000000002</v>
      </c>
      <c r="E2130" s="186">
        <v>8.1300000000000008</v>
      </c>
      <c r="F2130" s="186">
        <v>7.85</v>
      </c>
      <c r="G2130" s="186">
        <v>4.5331802579999998</v>
      </c>
    </row>
    <row r="2131" spans="1:7" ht="14.4">
      <c r="A2131" s="186">
        <v>2130</v>
      </c>
      <c r="B2131" s="186" t="s">
        <v>1228</v>
      </c>
      <c r="C2131" s="186" t="s">
        <v>2446</v>
      </c>
      <c r="D2131" s="187">
        <v>4976</v>
      </c>
      <c r="E2131" s="186">
        <v>7.93</v>
      </c>
      <c r="F2131" s="186">
        <v>7.85</v>
      </c>
      <c r="G2131" s="186">
        <v>4.5331802579999998</v>
      </c>
    </row>
    <row r="2132" spans="1:7" ht="14.4">
      <c r="A2132" s="186">
        <v>2131</v>
      </c>
      <c r="B2132" s="186" t="s">
        <v>571</v>
      </c>
      <c r="C2132" s="186" t="s">
        <v>2447</v>
      </c>
      <c r="D2132" s="186">
        <v>23.6</v>
      </c>
      <c r="E2132" s="186">
        <v>8.1199999999999992</v>
      </c>
      <c r="F2132" s="186">
        <v>7.85</v>
      </c>
      <c r="G2132" s="186">
        <v>4.5331802579999998</v>
      </c>
    </row>
    <row r="2133" spans="1:7" ht="14.4">
      <c r="A2133" s="186">
        <v>2132</v>
      </c>
      <c r="B2133" s="186" t="s">
        <v>1739</v>
      </c>
      <c r="C2133" s="186" t="s">
        <v>2448</v>
      </c>
      <c r="D2133" s="186">
        <v>383.5</v>
      </c>
      <c r="E2133" s="186">
        <v>7.95</v>
      </c>
      <c r="F2133" s="186">
        <v>7.85</v>
      </c>
      <c r="G2133" s="186">
        <v>4.5331802579999998</v>
      </c>
    </row>
    <row r="2134" spans="1:7" ht="14.4">
      <c r="A2134" s="186">
        <v>2133</v>
      </c>
      <c r="B2134" s="186" t="s">
        <v>373</v>
      </c>
      <c r="C2134" s="186" t="s">
        <v>2449</v>
      </c>
      <c r="D2134" s="186">
        <v>3</v>
      </c>
      <c r="E2134" s="186">
        <v>8.19</v>
      </c>
      <c r="F2134" s="186">
        <v>7.85</v>
      </c>
      <c r="G2134" s="186">
        <v>4.5331802579999998</v>
      </c>
    </row>
    <row r="2135" spans="1:7" ht="14.4">
      <c r="A2135" s="186">
        <v>2134</v>
      </c>
      <c r="B2135" s="186" t="s">
        <v>2178</v>
      </c>
      <c r="C2135" s="186" t="s">
        <v>2450</v>
      </c>
      <c r="D2135" s="186">
        <v>0.3</v>
      </c>
      <c r="E2135" s="186">
        <v>8.41</v>
      </c>
      <c r="F2135" s="186">
        <v>7.85</v>
      </c>
      <c r="G2135" s="186">
        <v>4.5331802579999998</v>
      </c>
    </row>
    <row r="2136" spans="1:7" ht="14.4">
      <c r="A2136" s="186">
        <v>2135</v>
      </c>
      <c r="B2136" s="186" t="s">
        <v>340</v>
      </c>
      <c r="C2136" s="186" t="s">
        <v>2451</v>
      </c>
      <c r="D2136" s="186">
        <v>582.20000000000005</v>
      </c>
      <c r="E2136" s="186">
        <v>7.87</v>
      </c>
      <c r="F2136" s="186">
        <v>7.85</v>
      </c>
      <c r="G2136" s="186">
        <v>4.5331802579999998</v>
      </c>
    </row>
    <row r="2137" spans="1:7" ht="14.4">
      <c r="A2137" s="186">
        <v>2136</v>
      </c>
      <c r="B2137" s="186" t="s">
        <v>1228</v>
      </c>
      <c r="C2137" s="186" t="s">
        <v>2452</v>
      </c>
      <c r="D2137" s="186">
        <v>391.4</v>
      </c>
      <c r="E2137" s="186">
        <v>7.95</v>
      </c>
      <c r="F2137" s="186">
        <v>7.86</v>
      </c>
      <c r="G2137" s="186">
        <v>4.5415941210000002</v>
      </c>
    </row>
    <row r="2138" spans="1:7" ht="14.4">
      <c r="A2138" s="186">
        <v>2137</v>
      </c>
      <c r="B2138" s="186" t="s">
        <v>178</v>
      </c>
      <c r="C2138" s="186" t="s">
        <v>2453</v>
      </c>
      <c r="D2138" s="186">
        <v>0.9</v>
      </c>
      <c r="E2138" s="186">
        <v>7.74</v>
      </c>
      <c r="F2138" s="186">
        <v>7.86</v>
      </c>
      <c r="G2138" s="186">
        <v>4.5415941210000002</v>
      </c>
    </row>
    <row r="2139" spans="1:7" ht="14.4">
      <c r="A2139" s="186">
        <v>2138</v>
      </c>
      <c r="B2139" s="186" t="s">
        <v>146</v>
      </c>
      <c r="C2139" s="186" t="s">
        <v>2454</v>
      </c>
      <c r="D2139" s="186">
        <v>145.1</v>
      </c>
      <c r="E2139" s="186">
        <v>8.31</v>
      </c>
      <c r="F2139" s="186">
        <v>7.86</v>
      </c>
      <c r="G2139" s="186">
        <v>4.5415941210000002</v>
      </c>
    </row>
    <row r="2140" spans="1:7" ht="14.4">
      <c r="A2140" s="186">
        <v>2139</v>
      </c>
      <c r="B2140" s="186" t="s">
        <v>138</v>
      </c>
      <c r="C2140" s="186" t="s">
        <v>2455</v>
      </c>
      <c r="D2140" s="186">
        <v>11.3</v>
      </c>
      <c r="E2140" s="186">
        <v>8.0399999999999991</v>
      </c>
      <c r="F2140" s="186">
        <v>7.87</v>
      </c>
      <c r="G2140" s="186">
        <v>4.5500228180000004</v>
      </c>
    </row>
    <row r="2141" spans="1:7" ht="14.4">
      <c r="A2141" s="186">
        <v>2140</v>
      </c>
      <c r="B2141" s="186" t="s">
        <v>178</v>
      </c>
      <c r="C2141" s="186" t="s">
        <v>2456</v>
      </c>
      <c r="D2141" s="186">
        <v>0.1</v>
      </c>
      <c r="E2141" s="186">
        <v>8.1300000000000008</v>
      </c>
      <c r="F2141" s="186">
        <v>7.87</v>
      </c>
      <c r="G2141" s="186">
        <v>4.5500228180000004</v>
      </c>
    </row>
    <row r="2142" spans="1:7" ht="14.4">
      <c r="A2142" s="186">
        <v>2141</v>
      </c>
      <c r="B2142" s="186" t="s">
        <v>178</v>
      </c>
      <c r="C2142" s="186" t="s">
        <v>2457</v>
      </c>
      <c r="D2142" s="186">
        <v>0.1</v>
      </c>
      <c r="E2142" s="186">
        <v>8.08</v>
      </c>
      <c r="F2142" s="186">
        <v>7.87</v>
      </c>
      <c r="G2142" s="186">
        <v>4.5500228180000004</v>
      </c>
    </row>
    <row r="2143" spans="1:7" ht="14.4">
      <c r="A2143" s="186">
        <v>2142</v>
      </c>
      <c r="B2143" s="186" t="s">
        <v>938</v>
      </c>
      <c r="C2143" s="186" t="s">
        <v>2458</v>
      </c>
      <c r="D2143" s="186">
        <v>862.5</v>
      </c>
      <c r="E2143" s="186">
        <v>7.72</v>
      </c>
      <c r="F2143" s="186">
        <v>7.87</v>
      </c>
      <c r="G2143" s="186">
        <v>4.5500228180000004</v>
      </c>
    </row>
    <row r="2144" spans="1:7" ht="14.4">
      <c r="A2144" s="186">
        <v>2143</v>
      </c>
      <c r="B2144" s="186" t="s">
        <v>153</v>
      </c>
      <c r="C2144" s="186" t="s">
        <v>2459</v>
      </c>
      <c r="D2144" s="186">
        <v>330.4</v>
      </c>
      <c r="E2144" s="186">
        <v>8.18</v>
      </c>
      <c r="F2144" s="186">
        <v>7.87</v>
      </c>
      <c r="G2144" s="186">
        <v>4.5500228180000004</v>
      </c>
    </row>
    <row r="2145" spans="1:7" ht="14.4">
      <c r="A2145" s="186">
        <v>2144</v>
      </c>
      <c r="B2145" s="186" t="s">
        <v>263</v>
      </c>
      <c r="C2145" s="186" t="s">
        <v>2460</v>
      </c>
      <c r="D2145" s="186">
        <v>0.2</v>
      </c>
      <c r="E2145" s="186">
        <v>7.99</v>
      </c>
      <c r="F2145" s="186">
        <v>7.87</v>
      </c>
      <c r="G2145" s="186">
        <v>4.5500228180000004</v>
      </c>
    </row>
    <row r="2146" spans="1:7" ht="14.4">
      <c r="A2146" s="186">
        <v>2145</v>
      </c>
      <c r="B2146" s="186" t="s">
        <v>553</v>
      </c>
      <c r="C2146" s="186" t="s">
        <v>2461</v>
      </c>
      <c r="D2146" s="186">
        <v>4.9000000000000004</v>
      </c>
      <c r="E2146" s="186">
        <v>8.25</v>
      </c>
      <c r="F2146" s="186">
        <v>7.87</v>
      </c>
      <c r="G2146" s="186">
        <v>4.5500228180000004</v>
      </c>
    </row>
    <row r="2147" spans="1:7" ht="14.4">
      <c r="A2147" s="186">
        <v>2146</v>
      </c>
      <c r="B2147" s="186" t="s">
        <v>319</v>
      </c>
      <c r="C2147" s="186" t="s">
        <v>2462</v>
      </c>
      <c r="D2147" s="187">
        <v>1183.3</v>
      </c>
      <c r="E2147" s="186">
        <v>8.26</v>
      </c>
      <c r="F2147" s="186">
        <v>7.87</v>
      </c>
      <c r="G2147" s="186">
        <v>4.5500228180000004</v>
      </c>
    </row>
    <row r="2148" spans="1:7" ht="14.4">
      <c r="A2148" s="186">
        <v>2147</v>
      </c>
      <c r="B2148" s="186" t="s">
        <v>187</v>
      </c>
      <c r="C2148" s="186" t="s">
        <v>2463</v>
      </c>
      <c r="D2148" s="186">
        <v>724.9</v>
      </c>
      <c r="E2148" s="186">
        <v>8.16</v>
      </c>
      <c r="F2148" s="186">
        <v>7.87</v>
      </c>
      <c r="G2148" s="186">
        <v>4.5500228180000004</v>
      </c>
    </row>
    <row r="2149" spans="1:7" ht="14.4">
      <c r="A2149" s="186">
        <v>2148</v>
      </c>
      <c r="B2149" s="186" t="s">
        <v>440</v>
      </c>
      <c r="C2149" s="186" t="s">
        <v>2464</v>
      </c>
      <c r="D2149" s="186">
        <v>383.3</v>
      </c>
      <c r="E2149" s="186">
        <v>8.1300000000000008</v>
      </c>
      <c r="F2149" s="186">
        <v>7.87</v>
      </c>
      <c r="G2149" s="186">
        <v>4.5500228180000004</v>
      </c>
    </row>
    <row r="2150" spans="1:7" ht="14.4">
      <c r="A2150" s="186">
        <v>2149</v>
      </c>
      <c r="B2150" s="186" t="s">
        <v>280</v>
      </c>
      <c r="C2150" s="186" t="s">
        <v>2465</v>
      </c>
      <c r="D2150" s="186">
        <v>169.9</v>
      </c>
      <c r="E2150" s="186">
        <v>8.19</v>
      </c>
      <c r="F2150" s="186">
        <v>7.87</v>
      </c>
      <c r="G2150" s="186">
        <v>4.5500228180000004</v>
      </c>
    </row>
    <row r="2151" spans="1:7" ht="14.4">
      <c r="A2151" s="186">
        <v>2150</v>
      </c>
      <c r="B2151" s="186" t="s">
        <v>1228</v>
      </c>
      <c r="C2151" s="186" t="s">
        <v>2466</v>
      </c>
      <c r="D2151" s="186">
        <v>354</v>
      </c>
      <c r="E2151" s="186">
        <v>8.16</v>
      </c>
      <c r="F2151" s="186">
        <v>7.88</v>
      </c>
      <c r="G2151" s="186">
        <v>4.5584663750000001</v>
      </c>
    </row>
    <row r="2152" spans="1:7" ht="14.4">
      <c r="A2152" s="186">
        <v>2151</v>
      </c>
      <c r="B2152" s="186" t="s">
        <v>1877</v>
      </c>
      <c r="C2152" s="186" t="s">
        <v>2467</v>
      </c>
      <c r="D2152" s="187">
        <v>5809.6</v>
      </c>
      <c r="E2152" s="186" t="s">
        <v>152</v>
      </c>
      <c r="F2152" s="186">
        <v>7.88</v>
      </c>
      <c r="G2152" s="186">
        <v>4.5584663750000001</v>
      </c>
    </row>
    <row r="2153" spans="1:7" ht="14.4">
      <c r="A2153" s="186">
        <v>2152</v>
      </c>
      <c r="B2153" s="186" t="s">
        <v>178</v>
      </c>
      <c r="C2153" s="186" t="s">
        <v>2468</v>
      </c>
      <c r="D2153" s="186">
        <v>24.3</v>
      </c>
      <c r="E2153" s="186">
        <v>8.09</v>
      </c>
      <c r="F2153" s="186">
        <v>7.88</v>
      </c>
      <c r="G2153" s="186">
        <v>4.5584663750000001</v>
      </c>
    </row>
    <row r="2154" spans="1:7" ht="14.4">
      <c r="A2154" s="186">
        <v>2153</v>
      </c>
      <c r="B2154" s="186" t="s">
        <v>153</v>
      </c>
      <c r="C2154" s="186" t="s">
        <v>2469</v>
      </c>
      <c r="D2154" s="187">
        <v>4944.5</v>
      </c>
      <c r="E2154" s="186">
        <v>8.11</v>
      </c>
      <c r="F2154" s="186">
        <v>7.88</v>
      </c>
      <c r="G2154" s="186">
        <v>4.5584663750000001</v>
      </c>
    </row>
    <row r="2155" spans="1:7" ht="14.4">
      <c r="A2155" s="186">
        <v>2154</v>
      </c>
      <c r="B2155" s="186" t="s">
        <v>226</v>
      </c>
      <c r="C2155" s="186" t="s">
        <v>2470</v>
      </c>
      <c r="D2155" s="186">
        <v>9.6999999999999993</v>
      </c>
      <c r="E2155" s="186">
        <v>7.9</v>
      </c>
      <c r="F2155" s="186">
        <v>7.88</v>
      </c>
      <c r="G2155" s="186">
        <v>4.5584663750000001</v>
      </c>
    </row>
    <row r="2156" spans="1:7" ht="14.4">
      <c r="A2156" s="186">
        <v>2155</v>
      </c>
      <c r="B2156" s="186" t="s">
        <v>1228</v>
      </c>
      <c r="C2156" s="186" t="s">
        <v>2471</v>
      </c>
      <c r="D2156" s="186">
        <v>736.2</v>
      </c>
      <c r="E2156" s="186">
        <v>8</v>
      </c>
      <c r="F2156" s="186">
        <v>7.89</v>
      </c>
      <c r="G2156" s="186">
        <v>4.5669248150000001</v>
      </c>
    </row>
    <row r="2157" spans="1:7" ht="14.4">
      <c r="A2157" s="186">
        <v>2156</v>
      </c>
      <c r="B2157" s="186" t="s">
        <v>1228</v>
      </c>
      <c r="C2157" s="186" t="s">
        <v>2472</v>
      </c>
      <c r="D2157" s="186">
        <v>44.4</v>
      </c>
      <c r="E2157" s="186">
        <v>8.18</v>
      </c>
      <c r="F2157" s="186">
        <v>7.89</v>
      </c>
      <c r="G2157" s="186">
        <v>4.5669248150000001</v>
      </c>
    </row>
    <row r="2158" spans="1:7" ht="14.4">
      <c r="A2158" s="186">
        <v>2157</v>
      </c>
      <c r="B2158" s="186" t="s">
        <v>271</v>
      </c>
      <c r="C2158" s="186" t="s">
        <v>2473</v>
      </c>
      <c r="D2158" s="186">
        <v>821.1</v>
      </c>
      <c r="E2158" s="186">
        <v>8.14</v>
      </c>
      <c r="F2158" s="186">
        <v>7.89</v>
      </c>
      <c r="G2158" s="186">
        <v>4.5669248150000001</v>
      </c>
    </row>
    <row r="2159" spans="1:7" ht="14.4">
      <c r="A2159" s="186">
        <v>2158</v>
      </c>
      <c r="B2159" s="186" t="s">
        <v>365</v>
      </c>
      <c r="C2159" s="186" t="s">
        <v>2474</v>
      </c>
      <c r="D2159" s="186">
        <v>578</v>
      </c>
      <c r="E2159" s="186">
        <v>8.1199999999999992</v>
      </c>
      <c r="F2159" s="186">
        <v>7.89</v>
      </c>
      <c r="G2159" s="186">
        <v>4.5669248150000001</v>
      </c>
    </row>
    <row r="2160" spans="1:7" ht="14.4">
      <c r="A2160" s="186">
        <v>2159</v>
      </c>
      <c r="B2160" s="186" t="s">
        <v>953</v>
      </c>
      <c r="C2160" s="186" t="s">
        <v>2475</v>
      </c>
      <c r="D2160" s="186">
        <v>105.2</v>
      </c>
      <c r="E2160" s="186">
        <v>7.81</v>
      </c>
      <c r="F2160" s="186">
        <v>7.89</v>
      </c>
      <c r="G2160" s="186">
        <v>4.5669248150000001</v>
      </c>
    </row>
    <row r="2161" spans="1:7" ht="14.4">
      <c r="A2161" s="186">
        <v>2160</v>
      </c>
      <c r="B2161" s="186" t="s">
        <v>146</v>
      </c>
      <c r="C2161" s="186" t="s">
        <v>2476</v>
      </c>
      <c r="D2161" s="186">
        <v>75.2</v>
      </c>
      <c r="E2161" s="186">
        <v>8.34</v>
      </c>
      <c r="F2161" s="186">
        <v>7.89</v>
      </c>
      <c r="G2161" s="186">
        <v>4.5669248150000001</v>
      </c>
    </row>
    <row r="2162" spans="1:7" ht="14.4">
      <c r="A2162" s="186">
        <v>2161</v>
      </c>
      <c r="B2162" s="186" t="s">
        <v>348</v>
      </c>
      <c r="C2162" s="186" t="s">
        <v>2477</v>
      </c>
      <c r="D2162" s="186">
        <v>16.899999999999999</v>
      </c>
      <c r="E2162" s="186">
        <v>8.23</v>
      </c>
      <c r="F2162" s="186">
        <v>7.89</v>
      </c>
      <c r="G2162" s="186">
        <v>4.5669248150000001</v>
      </c>
    </row>
    <row r="2163" spans="1:7" ht="14.4">
      <c r="A2163" s="186">
        <v>2162</v>
      </c>
      <c r="B2163" s="186" t="s">
        <v>335</v>
      </c>
      <c r="C2163" s="186" t="s">
        <v>2478</v>
      </c>
      <c r="D2163" s="186">
        <v>958.2</v>
      </c>
      <c r="E2163" s="186">
        <v>7.67</v>
      </c>
      <c r="F2163" s="186">
        <v>7.89</v>
      </c>
      <c r="G2163" s="186">
        <v>4.5669248150000001</v>
      </c>
    </row>
    <row r="2164" spans="1:7" ht="14.4">
      <c r="A2164" s="186">
        <v>2163</v>
      </c>
      <c r="B2164" s="186" t="s">
        <v>712</v>
      </c>
      <c r="C2164" s="186" t="s">
        <v>2479</v>
      </c>
      <c r="D2164" s="186">
        <v>140.69999999999999</v>
      </c>
      <c r="E2164" s="186">
        <v>7.71</v>
      </c>
      <c r="F2164" s="186">
        <v>7.9</v>
      </c>
      <c r="G2164" s="186">
        <v>4.5753981650000002</v>
      </c>
    </row>
    <row r="2165" spans="1:7" ht="14.4">
      <c r="A2165" s="186">
        <v>2164</v>
      </c>
      <c r="B2165" s="186" t="s">
        <v>162</v>
      </c>
      <c r="C2165" s="186" t="s">
        <v>2480</v>
      </c>
      <c r="D2165" s="186">
        <v>231.4</v>
      </c>
      <c r="E2165" s="186">
        <v>7.93</v>
      </c>
      <c r="F2165" s="186">
        <v>7.9</v>
      </c>
      <c r="G2165" s="186">
        <v>4.5753981650000002</v>
      </c>
    </row>
    <row r="2166" spans="1:7" ht="14.4">
      <c r="A2166" s="186">
        <v>2165</v>
      </c>
      <c r="B2166" s="186" t="s">
        <v>138</v>
      </c>
      <c r="C2166" s="186" t="s">
        <v>2481</v>
      </c>
      <c r="D2166" s="186">
        <v>552.29999999999995</v>
      </c>
      <c r="E2166" s="186">
        <v>7.83</v>
      </c>
      <c r="F2166" s="186">
        <v>7.91</v>
      </c>
      <c r="G2166" s="186">
        <v>4.5838864480000003</v>
      </c>
    </row>
    <row r="2167" spans="1:7" ht="14.4">
      <c r="A2167" s="186">
        <v>2166</v>
      </c>
      <c r="B2167" s="186" t="s">
        <v>138</v>
      </c>
      <c r="C2167" s="186" t="s">
        <v>2482</v>
      </c>
      <c r="D2167" s="186">
        <v>561.1</v>
      </c>
      <c r="E2167" s="186">
        <v>8.17</v>
      </c>
      <c r="F2167" s="186">
        <v>7.91</v>
      </c>
      <c r="G2167" s="186">
        <v>4.5838864480000003</v>
      </c>
    </row>
    <row r="2168" spans="1:7" ht="14.4">
      <c r="A2168" s="186">
        <v>2167</v>
      </c>
      <c r="B2168" s="186" t="s">
        <v>1228</v>
      </c>
      <c r="C2168" s="186" t="s">
        <v>2483</v>
      </c>
      <c r="D2168" s="187">
        <v>1436.2</v>
      </c>
      <c r="E2168" s="186">
        <v>8</v>
      </c>
      <c r="F2168" s="186">
        <v>7.91</v>
      </c>
      <c r="G2168" s="186">
        <v>4.5838864480000003</v>
      </c>
    </row>
    <row r="2169" spans="1:7" ht="14.4">
      <c r="A2169" s="186">
        <v>2168</v>
      </c>
      <c r="B2169" s="186" t="s">
        <v>319</v>
      </c>
      <c r="C2169" s="186" t="s">
        <v>2484</v>
      </c>
      <c r="D2169" s="186">
        <v>118.7</v>
      </c>
      <c r="E2169" s="186">
        <v>8.3000000000000007</v>
      </c>
      <c r="F2169" s="186">
        <v>7.91</v>
      </c>
      <c r="G2169" s="186">
        <v>4.5838864480000003</v>
      </c>
    </row>
    <row r="2170" spans="1:7" ht="14.4">
      <c r="A2170" s="186">
        <v>2169</v>
      </c>
      <c r="B2170" s="186" t="s">
        <v>365</v>
      </c>
      <c r="C2170" s="186" t="s">
        <v>2485</v>
      </c>
      <c r="D2170" s="186">
        <v>72.7</v>
      </c>
      <c r="E2170" s="186">
        <v>8.06</v>
      </c>
      <c r="F2170" s="186">
        <v>7.92</v>
      </c>
      <c r="G2170" s="186">
        <v>4.5923896900000001</v>
      </c>
    </row>
    <row r="2171" spans="1:7" ht="14.4">
      <c r="A2171" s="186">
        <v>2170</v>
      </c>
      <c r="B2171" s="186" t="s">
        <v>2269</v>
      </c>
      <c r="C2171" s="186" t="s">
        <v>2486</v>
      </c>
      <c r="D2171" s="186">
        <v>83.5</v>
      </c>
      <c r="E2171" s="186">
        <v>8.14</v>
      </c>
      <c r="F2171" s="186">
        <v>7.92</v>
      </c>
      <c r="G2171" s="186">
        <v>4.5923896900000001</v>
      </c>
    </row>
    <row r="2172" spans="1:7" ht="14.4">
      <c r="A2172" s="186">
        <v>2171</v>
      </c>
      <c r="B2172" s="186" t="s">
        <v>1228</v>
      </c>
      <c r="C2172" s="186" t="s">
        <v>2487</v>
      </c>
      <c r="D2172" s="187">
        <v>1478.5</v>
      </c>
      <c r="E2172" s="186">
        <v>8.1999999999999993</v>
      </c>
      <c r="F2172" s="186">
        <v>7.93</v>
      </c>
      <c r="G2172" s="186">
        <v>4.6009079159999997</v>
      </c>
    </row>
    <row r="2173" spans="1:7" ht="14.4">
      <c r="A2173" s="186">
        <v>2172</v>
      </c>
      <c r="B2173" s="186" t="s">
        <v>1228</v>
      </c>
      <c r="C2173" s="186" t="s">
        <v>2488</v>
      </c>
      <c r="D2173" s="186">
        <v>85.6</v>
      </c>
      <c r="E2173" s="186">
        <v>8.02</v>
      </c>
      <c r="F2173" s="186">
        <v>7.93</v>
      </c>
      <c r="G2173" s="186">
        <v>4.6009079159999997</v>
      </c>
    </row>
    <row r="2174" spans="1:7" ht="14.4">
      <c r="A2174" s="186">
        <v>2173</v>
      </c>
      <c r="B2174" s="186" t="s">
        <v>1228</v>
      </c>
      <c r="C2174" s="186" t="s">
        <v>2489</v>
      </c>
      <c r="D2174" s="186">
        <v>548.4</v>
      </c>
      <c r="E2174" s="186">
        <v>8.02</v>
      </c>
      <c r="F2174" s="186">
        <v>7.93</v>
      </c>
      <c r="G2174" s="186">
        <v>4.6009079159999997</v>
      </c>
    </row>
    <row r="2175" spans="1:7" ht="14.4">
      <c r="A2175" s="186">
        <v>2174</v>
      </c>
      <c r="B2175" s="186" t="s">
        <v>178</v>
      </c>
      <c r="C2175" s="186" t="s">
        <v>2490</v>
      </c>
      <c r="D2175" s="186">
        <v>491</v>
      </c>
      <c r="E2175" s="186">
        <v>7.83</v>
      </c>
      <c r="F2175" s="186">
        <v>7.93</v>
      </c>
      <c r="G2175" s="186">
        <v>4.6009079159999997</v>
      </c>
    </row>
    <row r="2176" spans="1:7" ht="14.4">
      <c r="A2176" s="186">
        <v>2175</v>
      </c>
      <c r="B2176" s="186" t="s">
        <v>365</v>
      </c>
      <c r="C2176" s="186" t="s">
        <v>2491</v>
      </c>
      <c r="D2176" s="186">
        <v>3.7</v>
      </c>
      <c r="E2176" s="186">
        <v>8.09</v>
      </c>
      <c r="F2176" s="186">
        <v>7.93</v>
      </c>
      <c r="G2176" s="186">
        <v>4.6009079159999997</v>
      </c>
    </row>
    <row r="2177" spans="1:7" ht="14.4">
      <c r="A2177" s="186">
        <v>2176</v>
      </c>
      <c r="B2177" s="186" t="s">
        <v>373</v>
      </c>
      <c r="C2177" s="186" t="s">
        <v>2492</v>
      </c>
      <c r="D2177" s="186">
        <v>676.3</v>
      </c>
      <c r="E2177" s="186">
        <v>8.2799999999999994</v>
      </c>
      <c r="F2177" s="186">
        <v>7.93</v>
      </c>
      <c r="G2177" s="186">
        <v>4.6009079159999997</v>
      </c>
    </row>
    <row r="2178" spans="1:7" ht="14.4">
      <c r="A2178" s="186">
        <v>2177</v>
      </c>
      <c r="B2178" s="186" t="s">
        <v>309</v>
      </c>
      <c r="C2178" s="186" t="s">
        <v>2493</v>
      </c>
      <c r="D2178" s="186">
        <v>1.5</v>
      </c>
      <c r="E2178" s="186">
        <v>8.31</v>
      </c>
      <c r="F2178" s="186">
        <v>7.93</v>
      </c>
      <c r="G2178" s="186">
        <v>4.6009079159999997</v>
      </c>
    </row>
    <row r="2179" spans="1:7" ht="14.4">
      <c r="A2179" s="186">
        <v>2178</v>
      </c>
      <c r="B2179" s="186" t="s">
        <v>118</v>
      </c>
      <c r="C2179" s="186" t="s">
        <v>2494</v>
      </c>
      <c r="D2179" s="186">
        <v>950.3</v>
      </c>
      <c r="E2179" s="186">
        <v>8.14</v>
      </c>
      <c r="F2179" s="186">
        <v>7.93</v>
      </c>
      <c r="G2179" s="186">
        <v>4.6009079159999997</v>
      </c>
    </row>
    <row r="2180" spans="1:7" ht="14.4">
      <c r="A2180" s="186">
        <v>2179</v>
      </c>
      <c r="B2180" s="186" t="s">
        <v>1228</v>
      </c>
      <c r="C2180" s="186" t="s">
        <v>2495</v>
      </c>
      <c r="D2180" s="187">
        <v>2776.9</v>
      </c>
      <c r="E2180" s="186">
        <v>8.0500000000000007</v>
      </c>
      <c r="F2180" s="186">
        <v>7.94</v>
      </c>
      <c r="G2180" s="186">
        <v>4.6094411500000003</v>
      </c>
    </row>
    <row r="2181" spans="1:7" ht="14.4">
      <c r="A2181" s="186">
        <v>2180</v>
      </c>
      <c r="B2181" s="186" t="s">
        <v>162</v>
      </c>
      <c r="C2181" s="186" t="s">
        <v>2496</v>
      </c>
      <c r="D2181" s="186">
        <v>85</v>
      </c>
      <c r="E2181" s="186">
        <v>7.97</v>
      </c>
      <c r="F2181" s="186">
        <v>7.94</v>
      </c>
      <c r="G2181" s="186">
        <v>4.6094411500000003</v>
      </c>
    </row>
    <row r="2182" spans="1:7" ht="14.4">
      <c r="A2182" s="186">
        <v>2181</v>
      </c>
      <c r="B2182" s="186" t="s">
        <v>210</v>
      </c>
      <c r="C2182" s="186" t="s">
        <v>2497</v>
      </c>
      <c r="D2182" s="186">
        <v>159.9</v>
      </c>
      <c r="E2182" s="186">
        <v>7.7</v>
      </c>
      <c r="F2182" s="186">
        <v>7.94</v>
      </c>
      <c r="G2182" s="186">
        <v>4.6094411500000003</v>
      </c>
    </row>
    <row r="2183" spans="1:7" ht="14.4">
      <c r="A2183" s="186">
        <v>2182</v>
      </c>
      <c r="B2183" s="186" t="s">
        <v>477</v>
      </c>
      <c r="C2183" s="186" t="s">
        <v>2498</v>
      </c>
      <c r="D2183" s="186">
        <v>21.9</v>
      </c>
      <c r="E2183" s="186">
        <v>8.18</v>
      </c>
      <c r="F2183" s="186">
        <v>7.94</v>
      </c>
      <c r="G2183" s="186">
        <v>4.6094411500000003</v>
      </c>
    </row>
    <row r="2184" spans="1:7" ht="14.4">
      <c r="A2184" s="186">
        <v>2183</v>
      </c>
      <c r="B2184" s="186" t="s">
        <v>1290</v>
      </c>
      <c r="C2184" s="186" t="s">
        <v>2499</v>
      </c>
      <c r="D2184" s="186">
        <v>4.4000000000000004</v>
      </c>
      <c r="E2184" s="186">
        <v>8.09</v>
      </c>
      <c r="F2184" s="186">
        <v>7.94</v>
      </c>
      <c r="G2184" s="186">
        <v>4.6094411500000003</v>
      </c>
    </row>
    <row r="2185" spans="1:7" ht="14.4">
      <c r="A2185" s="186">
        <v>2184</v>
      </c>
      <c r="B2185" s="186" t="s">
        <v>352</v>
      </c>
      <c r="C2185" s="186" t="s">
        <v>2500</v>
      </c>
      <c r="D2185" s="187">
        <v>2680.5</v>
      </c>
      <c r="E2185" s="186">
        <v>8.08</v>
      </c>
      <c r="F2185" s="186">
        <v>7.94</v>
      </c>
      <c r="G2185" s="186">
        <v>4.6094411500000003</v>
      </c>
    </row>
    <row r="2186" spans="1:7" ht="14.4">
      <c r="A2186" s="186">
        <v>2185</v>
      </c>
      <c r="B2186" s="186" t="s">
        <v>340</v>
      </c>
      <c r="C2186" s="186" t="s">
        <v>2501</v>
      </c>
      <c r="D2186" s="186">
        <v>237.5</v>
      </c>
      <c r="E2186" s="186">
        <v>8.27</v>
      </c>
      <c r="F2186" s="186">
        <v>7.94</v>
      </c>
      <c r="G2186" s="186">
        <v>4.6094411500000003</v>
      </c>
    </row>
    <row r="2187" spans="1:7" ht="14.4">
      <c r="A2187" s="186">
        <v>2186</v>
      </c>
      <c r="B2187" s="186" t="s">
        <v>1228</v>
      </c>
      <c r="C2187" s="186" t="s">
        <v>2502</v>
      </c>
      <c r="D2187" s="186">
        <v>24.9</v>
      </c>
      <c r="E2187" s="186">
        <v>8.09</v>
      </c>
      <c r="F2187" s="186">
        <v>7.95</v>
      </c>
      <c r="G2187" s="186">
        <v>4.6179894179999996</v>
      </c>
    </row>
    <row r="2188" spans="1:7" ht="14.4">
      <c r="A2188" s="186">
        <v>2187</v>
      </c>
      <c r="B2188" s="186" t="s">
        <v>1228</v>
      </c>
      <c r="C2188" s="186" t="s">
        <v>2503</v>
      </c>
      <c r="D2188" s="186">
        <v>314.5</v>
      </c>
      <c r="E2188" s="186">
        <v>8.09</v>
      </c>
      <c r="F2188" s="186">
        <v>7.95</v>
      </c>
      <c r="G2188" s="186">
        <v>4.6179894179999996</v>
      </c>
    </row>
    <row r="2189" spans="1:7" ht="14.4">
      <c r="A2189" s="186">
        <v>2188</v>
      </c>
      <c r="B2189" s="186" t="s">
        <v>1228</v>
      </c>
      <c r="C2189" s="186" t="s">
        <v>2504</v>
      </c>
      <c r="D2189" s="186">
        <v>410.8</v>
      </c>
      <c r="E2189" s="186">
        <v>8.0299999999999994</v>
      </c>
      <c r="F2189" s="186">
        <v>7.95</v>
      </c>
      <c r="G2189" s="186">
        <v>4.6179894179999996</v>
      </c>
    </row>
    <row r="2190" spans="1:7" ht="14.4">
      <c r="A2190" s="186">
        <v>2189</v>
      </c>
      <c r="B2190" s="186" t="s">
        <v>2505</v>
      </c>
      <c r="C2190" s="186" t="s">
        <v>2506</v>
      </c>
      <c r="D2190" s="187">
        <v>1943.8</v>
      </c>
      <c r="E2190" s="186">
        <v>8.09</v>
      </c>
      <c r="F2190" s="186">
        <v>7.95</v>
      </c>
      <c r="G2190" s="186">
        <v>4.6179894179999996</v>
      </c>
    </row>
    <row r="2191" spans="1:7" ht="14.4">
      <c r="A2191" s="186">
        <v>2190</v>
      </c>
      <c r="B2191" s="186" t="s">
        <v>422</v>
      </c>
      <c r="C2191" s="186" t="s">
        <v>2507</v>
      </c>
      <c r="D2191" s="186">
        <v>97.8</v>
      </c>
      <c r="E2191" s="186">
        <v>7.62</v>
      </c>
      <c r="F2191" s="186">
        <v>7.95</v>
      </c>
      <c r="G2191" s="186">
        <v>4.6179894179999996</v>
      </c>
    </row>
    <row r="2192" spans="1:7" ht="14.4">
      <c r="A2192" s="186">
        <v>2191</v>
      </c>
      <c r="B2192" s="186" t="s">
        <v>373</v>
      </c>
      <c r="C2192" s="186" t="s">
        <v>2508</v>
      </c>
      <c r="D2192" s="186">
        <v>2.4</v>
      </c>
      <c r="E2192" s="186">
        <v>8.3000000000000007</v>
      </c>
      <c r="F2192" s="186">
        <v>7.95</v>
      </c>
      <c r="G2192" s="186">
        <v>4.6179894179999996</v>
      </c>
    </row>
    <row r="2193" spans="1:7" ht="14.4">
      <c r="A2193" s="186">
        <v>2192</v>
      </c>
      <c r="B2193" s="186" t="s">
        <v>335</v>
      </c>
      <c r="C2193" s="186" t="s">
        <v>2509</v>
      </c>
      <c r="D2193" s="186">
        <v>1.9</v>
      </c>
      <c r="E2193" s="186">
        <v>8.06</v>
      </c>
      <c r="F2193" s="186">
        <v>7.95</v>
      </c>
      <c r="G2193" s="186">
        <v>4.6179894179999996</v>
      </c>
    </row>
    <row r="2194" spans="1:7" ht="14.4">
      <c r="A2194" s="186">
        <v>2193</v>
      </c>
      <c r="B2194" s="186" t="s">
        <v>545</v>
      </c>
      <c r="C2194" s="186" t="s">
        <v>2510</v>
      </c>
      <c r="D2194" s="186">
        <v>12.4</v>
      </c>
      <c r="E2194" s="186">
        <v>7.93</v>
      </c>
      <c r="F2194" s="186">
        <v>7.95</v>
      </c>
      <c r="G2194" s="186">
        <v>4.6179894179999996</v>
      </c>
    </row>
    <row r="2195" spans="1:7" ht="14.4">
      <c r="A2195" s="186">
        <v>2194</v>
      </c>
      <c r="B2195" s="186" t="s">
        <v>1228</v>
      </c>
      <c r="C2195" s="186" t="s">
        <v>2511</v>
      </c>
      <c r="D2195" s="186">
        <v>104.5</v>
      </c>
      <c r="E2195" s="186">
        <v>8.23</v>
      </c>
      <c r="F2195" s="186">
        <v>7.96</v>
      </c>
      <c r="G2195" s="186">
        <v>4.6265527449999997</v>
      </c>
    </row>
    <row r="2196" spans="1:7" ht="14.4">
      <c r="A2196" s="186">
        <v>2195</v>
      </c>
      <c r="B2196" s="186" t="s">
        <v>1228</v>
      </c>
      <c r="C2196" s="186" t="s">
        <v>2512</v>
      </c>
      <c r="D2196" s="186">
        <v>594.4</v>
      </c>
      <c r="E2196" s="186">
        <v>8.23</v>
      </c>
      <c r="F2196" s="186">
        <v>7.96</v>
      </c>
      <c r="G2196" s="186">
        <v>4.6265527449999997</v>
      </c>
    </row>
    <row r="2197" spans="1:7" ht="14.4">
      <c r="A2197" s="186">
        <v>2196</v>
      </c>
      <c r="B2197" s="186" t="s">
        <v>153</v>
      </c>
      <c r="C2197" s="186" t="s">
        <v>2513</v>
      </c>
      <c r="D2197" s="187">
        <v>2078.4</v>
      </c>
      <c r="E2197" s="186">
        <v>8.18</v>
      </c>
      <c r="F2197" s="186">
        <v>7.96</v>
      </c>
      <c r="G2197" s="186">
        <v>4.6265527449999997</v>
      </c>
    </row>
    <row r="2198" spans="1:7" ht="14.4">
      <c r="A2198" s="186">
        <v>2197</v>
      </c>
      <c r="B2198" s="186" t="s">
        <v>365</v>
      </c>
      <c r="C2198" s="186" t="s">
        <v>2514</v>
      </c>
      <c r="D2198" s="187">
        <v>3001.2</v>
      </c>
      <c r="E2198" s="186">
        <v>8.19</v>
      </c>
      <c r="F2198" s="186">
        <v>7.96</v>
      </c>
      <c r="G2198" s="186">
        <v>4.6265527449999997</v>
      </c>
    </row>
    <row r="2199" spans="1:7" ht="14.4">
      <c r="A2199" s="186">
        <v>2198</v>
      </c>
      <c r="B2199" s="186" t="s">
        <v>365</v>
      </c>
      <c r="C2199" s="186" t="s">
        <v>2515</v>
      </c>
      <c r="D2199" s="187">
        <v>3079.3</v>
      </c>
      <c r="E2199" s="186">
        <v>8.19</v>
      </c>
      <c r="F2199" s="186">
        <v>7.96</v>
      </c>
      <c r="G2199" s="186">
        <v>4.6265527449999997</v>
      </c>
    </row>
    <row r="2200" spans="1:7" ht="14.4">
      <c r="A2200" s="186">
        <v>2199</v>
      </c>
      <c r="B2200" s="186" t="s">
        <v>210</v>
      </c>
      <c r="C2200" s="186" t="s">
        <v>2516</v>
      </c>
      <c r="D2200" s="186">
        <v>67.8</v>
      </c>
      <c r="E2200" s="186">
        <v>8.08</v>
      </c>
      <c r="F2200" s="186">
        <v>7.96</v>
      </c>
      <c r="G2200" s="186">
        <v>4.6265527449999997</v>
      </c>
    </row>
    <row r="2201" spans="1:7" ht="14.4">
      <c r="A2201" s="186">
        <v>2200</v>
      </c>
      <c r="B2201" s="186" t="s">
        <v>834</v>
      </c>
      <c r="C2201" s="186" t="s">
        <v>2517</v>
      </c>
      <c r="D2201" s="186">
        <v>760</v>
      </c>
      <c r="E2201" s="186">
        <v>7.68</v>
      </c>
      <c r="F2201" s="186">
        <v>7.96</v>
      </c>
      <c r="G2201" s="186">
        <v>4.6265527449999997</v>
      </c>
    </row>
    <row r="2202" spans="1:7" ht="14.4">
      <c r="A2202" s="186">
        <v>2201</v>
      </c>
      <c r="B2202" s="186" t="s">
        <v>317</v>
      </c>
      <c r="C2202" s="186" t="s">
        <v>2518</v>
      </c>
      <c r="D2202" s="186">
        <v>4.3</v>
      </c>
      <c r="E2202" s="186">
        <v>8.1300000000000008</v>
      </c>
      <c r="F2202" s="186">
        <v>7.96</v>
      </c>
      <c r="G2202" s="186">
        <v>4.6265527449999997</v>
      </c>
    </row>
    <row r="2203" spans="1:7" ht="14.4">
      <c r="A2203" s="186">
        <v>2202</v>
      </c>
      <c r="B2203" s="186" t="s">
        <v>1228</v>
      </c>
      <c r="C2203" s="186" t="s">
        <v>2519</v>
      </c>
      <c r="D2203" s="186">
        <v>234.2</v>
      </c>
      <c r="E2203" s="186">
        <v>8.07</v>
      </c>
      <c r="F2203" s="186">
        <v>7.97</v>
      </c>
      <c r="G2203" s="186">
        <v>4.6351311559999999</v>
      </c>
    </row>
    <row r="2204" spans="1:7" ht="14.4">
      <c r="A2204" s="186">
        <v>2203</v>
      </c>
      <c r="B2204" s="186" t="s">
        <v>1228</v>
      </c>
      <c r="C2204" s="186" t="s">
        <v>2520</v>
      </c>
      <c r="D2204" s="186">
        <v>929.2</v>
      </c>
      <c r="E2204" s="186">
        <v>8.07</v>
      </c>
      <c r="F2204" s="186">
        <v>7.97</v>
      </c>
      <c r="G2204" s="186">
        <v>4.6351311559999999</v>
      </c>
    </row>
    <row r="2205" spans="1:7" ht="14.4">
      <c r="A2205" s="186">
        <v>2204</v>
      </c>
      <c r="B2205" s="186" t="s">
        <v>938</v>
      </c>
      <c r="C2205" s="186" t="s">
        <v>2521</v>
      </c>
      <c r="D2205" s="186">
        <v>61.9</v>
      </c>
      <c r="E2205" s="186">
        <v>8.1999999999999993</v>
      </c>
      <c r="F2205" s="186">
        <v>7.97</v>
      </c>
      <c r="G2205" s="186">
        <v>4.6351311559999999</v>
      </c>
    </row>
    <row r="2206" spans="1:7" ht="14.4">
      <c r="A2206" s="186">
        <v>2205</v>
      </c>
      <c r="B2206" s="186" t="s">
        <v>553</v>
      </c>
      <c r="C2206" s="186" t="s">
        <v>2522</v>
      </c>
      <c r="D2206" s="186">
        <v>249.6</v>
      </c>
      <c r="E2206" s="186">
        <v>7.94</v>
      </c>
      <c r="F2206" s="186">
        <v>7.97</v>
      </c>
      <c r="G2206" s="186">
        <v>4.6351311559999999</v>
      </c>
    </row>
    <row r="2207" spans="1:7" ht="14.4">
      <c r="A2207" s="186">
        <v>2206</v>
      </c>
      <c r="B2207" s="186" t="s">
        <v>210</v>
      </c>
      <c r="C2207" s="186" t="s">
        <v>2523</v>
      </c>
      <c r="D2207" s="186">
        <v>39.9</v>
      </c>
      <c r="E2207" s="186">
        <v>8.2899999999999991</v>
      </c>
      <c r="F2207" s="186">
        <v>7.97</v>
      </c>
      <c r="G2207" s="186">
        <v>4.6351311559999999</v>
      </c>
    </row>
    <row r="2208" spans="1:7" ht="14.4">
      <c r="A2208" s="186">
        <v>2207</v>
      </c>
      <c r="B2208" s="186" t="s">
        <v>309</v>
      </c>
      <c r="C2208" s="186" t="s">
        <v>2524</v>
      </c>
      <c r="D2208" s="186">
        <v>25.8</v>
      </c>
      <c r="E2208" s="186" t="s">
        <v>152</v>
      </c>
      <c r="F2208" s="186">
        <v>7.97</v>
      </c>
      <c r="G2208" s="186">
        <v>4.6351311559999999</v>
      </c>
    </row>
    <row r="2209" spans="1:7" ht="14.4">
      <c r="A2209" s="186">
        <v>2208</v>
      </c>
      <c r="B2209" s="186" t="s">
        <v>834</v>
      </c>
      <c r="C2209" s="186" t="s">
        <v>2525</v>
      </c>
      <c r="D2209" s="187">
        <v>1653.4</v>
      </c>
      <c r="E2209" s="186">
        <v>8.27</v>
      </c>
      <c r="F2209" s="186">
        <v>7.97</v>
      </c>
      <c r="G2209" s="186">
        <v>4.6351311559999999</v>
      </c>
    </row>
    <row r="2210" spans="1:7" ht="14.4">
      <c r="A2210" s="186">
        <v>2209</v>
      </c>
      <c r="B2210" s="186" t="s">
        <v>286</v>
      </c>
      <c r="C2210" s="186" t="s">
        <v>2526</v>
      </c>
      <c r="D2210" s="186">
        <v>37.700000000000003</v>
      </c>
      <c r="E2210" s="186">
        <v>8.14</v>
      </c>
      <c r="F2210" s="186">
        <v>7.98</v>
      </c>
      <c r="G2210" s="186">
        <v>4.6437246759999997</v>
      </c>
    </row>
    <row r="2211" spans="1:7" ht="14.4">
      <c r="A2211" s="186">
        <v>2210</v>
      </c>
      <c r="B2211" s="186" t="s">
        <v>335</v>
      </c>
      <c r="C2211" s="186" t="s">
        <v>2527</v>
      </c>
      <c r="D2211" s="186">
        <v>131.80000000000001</v>
      </c>
      <c r="E2211" s="186">
        <v>8.09</v>
      </c>
      <c r="F2211" s="186">
        <v>7.98</v>
      </c>
      <c r="G2211" s="186">
        <v>4.6437246759999997</v>
      </c>
    </row>
    <row r="2212" spans="1:7" ht="14.4">
      <c r="A2212" s="186">
        <v>2211</v>
      </c>
      <c r="B2212" s="186" t="s">
        <v>213</v>
      </c>
      <c r="C2212" s="186" t="s">
        <v>2528</v>
      </c>
      <c r="D2212" s="187">
        <v>1862.2</v>
      </c>
      <c r="E2212" s="186">
        <v>8.1999999999999993</v>
      </c>
      <c r="F2212" s="186">
        <v>7.98</v>
      </c>
      <c r="G2212" s="186">
        <v>4.6437246759999997</v>
      </c>
    </row>
    <row r="2213" spans="1:7" ht="14.4">
      <c r="A2213" s="186">
        <v>2212</v>
      </c>
      <c r="B2213" s="186" t="s">
        <v>187</v>
      </c>
      <c r="C2213" s="186" t="s">
        <v>2529</v>
      </c>
      <c r="D2213" s="186">
        <v>537.70000000000005</v>
      </c>
      <c r="E2213" s="186">
        <v>8.1999999999999993</v>
      </c>
      <c r="F2213" s="186">
        <v>7.98</v>
      </c>
      <c r="G2213" s="186">
        <v>4.6437246759999997</v>
      </c>
    </row>
    <row r="2214" spans="1:7" ht="14.4">
      <c r="A2214" s="186">
        <v>2213</v>
      </c>
      <c r="B2214" s="186" t="s">
        <v>1215</v>
      </c>
      <c r="C2214" s="186" t="s">
        <v>2530</v>
      </c>
      <c r="D2214" s="186">
        <v>7.4</v>
      </c>
      <c r="E2214" s="186">
        <v>8.17</v>
      </c>
      <c r="F2214" s="186">
        <v>7.98</v>
      </c>
      <c r="G2214" s="186">
        <v>4.6437246759999997</v>
      </c>
    </row>
    <row r="2215" spans="1:7" ht="14.4">
      <c r="A2215" s="186">
        <v>2214</v>
      </c>
      <c r="B2215" s="186" t="s">
        <v>178</v>
      </c>
      <c r="C2215" s="186" t="s">
        <v>2531</v>
      </c>
      <c r="D2215" s="186">
        <v>15.4</v>
      </c>
      <c r="E2215" s="186">
        <v>8.2100000000000009</v>
      </c>
      <c r="F2215" s="186">
        <v>7.99</v>
      </c>
      <c r="G2215" s="186">
        <v>4.6523333300000003</v>
      </c>
    </row>
    <row r="2216" spans="1:7" ht="14.4">
      <c r="A2216" s="186">
        <v>2215</v>
      </c>
      <c r="B2216" s="186" t="s">
        <v>365</v>
      </c>
      <c r="C2216" s="186" t="s">
        <v>2532</v>
      </c>
      <c r="D2216" s="186">
        <v>51.1</v>
      </c>
      <c r="E2216" s="186">
        <v>8.15</v>
      </c>
      <c r="F2216" s="186">
        <v>7.99</v>
      </c>
      <c r="G2216" s="186">
        <v>4.6523333300000003</v>
      </c>
    </row>
    <row r="2217" spans="1:7" ht="14.4">
      <c r="A2217" s="186">
        <v>2216</v>
      </c>
      <c r="B2217" s="186" t="s">
        <v>146</v>
      </c>
      <c r="C2217" s="186" t="s">
        <v>2533</v>
      </c>
      <c r="D2217" s="187">
        <v>4083.1</v>
      </c>
      <c r="E2217" s="186">
        <v>8</v>
      </c>
      <c r="F2217" s="186">
        <v>7.99</v>
      </c>
      <c r="G2217" s="186">
        <v>4.6523333300000003</v>
      </c>
    </row>
    <row r="2218" spans="1:7" ht="14.4">
      <c r="A2218" s="186">
        <v>2217</v>
      </c>
      <c r="B2218" s="186" t="s">
        <v>477</v>
      </c>
      <c r="C2218" s="186" t="s">
        <v>2534</v>
      </c>
      <c r="D2218" s="186">
        <v>8.3000000000000007</v>
      </c>
      <c r="E2218" s="186">
        <v>8.2899999999999991</v>
      </c>
      <c r="F2218" s="186">
        <v>7.99</v>
      </c>
      <c r="G2218" s="186">
        <v>4.6523333300000003</v>
      </c>
    </row>
    <row r="2219" spans="1:7" ht="14.4">
      <c r="A2219" s="186">
        <v>2218</v>
      </c>
      <c r="B2219" s="186" t="s">
        <v>747</v>
      </c>
      <c r="C2219" s="186" t="s">
        <v>2535</v>
      </c>
      <c r="D2219" s="186">
        <v>211.8</v>
      </c>
      <c r="E2219" s="186">
        <v>8.2100000000000009</v>
      </c>
      <c r="F2219" s="186">
        <v>7.99</v>
      </c>
      <c r="G2219" s="186">
        <v>4.6523333300000003</v>
      </c>
    </row>
    <row r="2220" spans="1:7" ht="14.4">
      <c r="A2220" s="186">
        <v>2219</v>
      </c>
      <c r="B2220" s="186" t="s">
        <v>187</v>
      </c>
      <c r="C2220" s="186" t="s">
        <v>2536</v>
      </c>
      <c r="D2220" s="187">
        <v>29445.7</v>
      </c>
      <c r="E2220" s="186">
        <v>8.1199999999999992</v>
      </c>
      <c r="F2220" s="186">
        <v>7.99</v>
      </c>
      <c r="G2220" s="186">
        <v>4.6523333300000003</v>
      </c>
    </row>
    <row r="2221" spans="1:7" ht="14.4">
      <c r="A2221" s="186">
        <v>2220</v>
      </c>
      <c r="B2221" s="186" t="s">
        <v>184</v>
      </c>
      <c r="C2221" s="186" t="s">
        <v>2537</v>
      </c>
      <c r="D2221" s="187">
        <v>5092.8999999999996</v>
      </c>
      <c r="E2221" s="186">
        <v>8.0299999999999994</v>
      </c>
      <c r="F2221" s="186">
        <v>7.99</v>
      </c>
      <c r="G2221" s="186">
        <v>4.6523333300000003</v>
      </c>
    </row>
    <row r="2222" spans="1:7" ht="14.4">
      <c r="A2222" s="186">
        <v>2221</v>
      </c>
      <c r="B2222" s="186" t="s">
        <v>178</v>
      </c>
      <c r="C2222" s="186" t="s">
        <v>2538</v>
      </c>
      <c r="D2222" s="186">
        <v>0.3</v>
      </c>
      <c r="E2222" s="186">
        <v>8.2200000000000006</v>
      </c>
      <c r="F2222" s="186">
        <v>8</v>
      </c>
      <c r="G2222" s="186">
        <v>4.6609571440000002</v>
      </c>
    </row>
    <row r="2223" spans="1:7" ht="14.4">
      <c r="A2223" s="186">
        <v>2222</v>
      </c>
      <c r="B2223" s="186" t="s">
        <v>178</v>
      </c>
      <c r="C2223" s="186" t="s">
        <v>2539</v>
      </c>
      <c r="D2223" s="186">
        <v>5.8</v>
      </c>
      <c r="E2223" s="186">
        <v>8.2100000000000009</v>
      </c>
      <c r="F2223" s="186">
        <v>8</v>
      </c>
      <c r="G2223" s="186">
        <v>4.6609571440000002</v>
      </c>
    </row>
    <row r="2224" spans="1:7" ht="14.4">
      <c r="A2224" s="186">
        <v>2223</v>
      </c>
      <c r="B2224" s="186" t="s">
        <v>178</v>
      </c>
      <c r="C2224" s="186" t="s">
        <v>2540</v>
      </c>
      <c r="D2224" s="186">
        <v>0.1</v>
      </c>
      <c r="E2224" s="186">
        <v>8.44</v>
      </c>
      <c r="F2224" s="186">
        <v>8</v>
      </c>
      <c r="G2224" s="186">
        <v>4.6609571440000002</v>
      </c>
    </row>
    <row r="2225" spans="1:7" ht="14.4">
      <c r="A2225" s="186">
        <v>2224</v>
      </c>
      <c r="B2225" s="186" t="s">
        <v>712</v>
      </c>
      <c r="C2225" s="186" t="s">
        <v>2541</v>
      </c>
      <c r="D2225" s="186">
        <v>308.8</v>
      </c>
      <c r="E2225" s="186">
        <v>8.34</v>
      </c>
      <c r="F2225" s="186">
        <v>8</v>
      </c>
      <c r="G2225" s="186">
        <v>4.6609571440000002</v>
      </c>
    </row>
    <row r="2226" spans="1:7" ht="14.4">
      <c r="A2226" s="186">
        <v>2225</v>
      </c>
      <c r="B2226" s="186" t="s">
        <v>146</v>
      </c>
      <c r="C2226" s="186" t="s">
        <v>2542</v>
      </c>
      <c r="D2226" s="186">
        <v>59.9</v>
      </c>
      <c r="E2226" s="186">
        <v>8.39</v>
      </c>
      <c r="F2226" s="186">
        <v>8</v>
      </c>
      <c r="G2226" s="186">
        <v>4.6609571440000002</v>
      </c>
    </row>
    <row r="2227" spans="1:7" ht="14.4">
      <c r="A2227" s="186">
        <v>2226</v>
      </c>
      <c r="B2227" s="186" t="s">
        <v>319</v>
      </c>
      <c r="C2227" s="186" t="s">
        <v>2543</v>
      </c>
      <c r="D2227" s="186">
        <v>529.79999999999995</v>
      </c>
      <c r="E2227" s="186">
        <v>8.39</v>
      </c>
      <c r="F2227" s="186">
        <v>8</v>
      </c>
      <c r="G2227" s="186">
        <v>4.6609571440000002</v>
      </c>
    </row>
    <row r="2228" spans="1:7" ht="14.4">
      <c r="A2228" s="186">
        <v>2227</v>
      </c>
      <c r="B2228" s="186" t="s">
        <v>192</v>
      </c>
      <c r="C2228" s="186" t="s">
        <v>2544</v>
      </c>
      <c r="D2228" s="186">
        <v>346.6</v>
      </c>
      <c r="E2228" s="186">
        <v>8.27</v>
      </c>
      <c r="F2228" s="186">
        <v>8</v>
      </c>
      <c r="G2228" s="186">
        <v>4.6609571440000002</v>
      </c>
    </row>
    <row r="2229" spans="1:7" ht="14.4">
      <c r="A2229" s="186">
        <v>2228</v>
      </c>
      <c r="B2229" s="186" t="s">
        <v>2545</v>
      </c>
      <c r="C2229" s="186" t="s">
        <v>2546</v>
      </c>
      <c r="D2229" s="186">
        <v>939.4</v>
      </c>
      <c r="E2229" s="186">
        <v>8.23</v>
      </c>
      <c r="F2229" s="186">
        <v>8.01</v>
      </c>
      <c r="G2229" s="186">
        <v>4.6695961429999997</v>
      </c>
    </row>
    <row r="2230" spans="1:7" ht="14.4">
      <c r="A2230" s="186">
        <v>2229</v>
      </c>
      <c r="B2230" s="186" t="s">
        <v>319</v>
      </c>
      <c r="C2230" s="186" t="s">
        <v>2547</v>
      </c>
      <c r="D2230" s="186">
        <v>4.7</v>
      </c>
      <c r="E2230" s="186">
        <v>8.0399999999999991</v>
      </c>
      <c r="F2230" s="186">
        <v>8.01</v>
      </c>
      <c r="G2230" s="186">
        <v>4.6695961429999997</v>
      </c>
    </row>
    <row r="2231" spans="1:7" ht="14.4">
      <c r="A2231" s="186">
        <v>2230</v>
      </c>
      <c r="B2231" s="186" t="s">
        <v>392</v>
      </c>
      <c r="C2231" s="186" t="s">
        <v>2548</v>
      </c>
      <c r="D2231" s="186">
        <v>488.6</v>
      </c>
      <c r="E2231" s="186">
        <v>7.92</v>
      </c>
      <c r="F2231" s="186">
        <v>8.01</v>
      </c>
      <c r="G2231" s="186">
        <v>4.6695961429999997</v>
      </c>
    </row>
    <row r="2232" spans="1:7" ht="14.4">
      <c r="A2232" s="186">
        <v>2231</v>
      </c>
      <c r="B2232" s="186" t="s">
        <v>178</v>
      </c>
      <c r="C2232" s="186" t="s">
        <v>2549</v>
      </c>
      <c r="D2232" s="186">
        <v>128.80000000000001</v>
      </c>
      <c r="E2232" s="186">
        <v>8.4600000000000009</v>
      </c>
      <c r="F2232" s="186">
        <v>8.02</v>
      </c>
      <c r="G2232" s="186">
        <v>4.6782503520000001</v>
      </c>
    </row>
    <row r="2233" spans="1:7" ht="14.4">
      <c r="A2233" s="186">
        <v>2232</v>
      </c>
      <c r="B2233" s="186" t="s">
        <v>483</v>
      </c>
      <c r="C2233" s="186" t="s">
        <v>2550</v>
      </c>
      <c r="D2233" s="187">
        <v>13134.5</v>
      </c>
      <c r="E2233" s="186">
        <v>7.6</v>
      </c>
      <c r="F2233" s="186">
        <v>8.02</v>
      </c>
      <c r="G2233" s="186">
        <v>4.6782503520000001</v>
      </c>
    </row>
    <row r="2234" spans="1:7" ht="14.4">
      <c r="A2234" s="186">
        <v>2233</v>
      </c>
      <c r="B2234" s="186" t="s">
        <v>263</v>
      </c>
      <c r="C2234" s="186" t="s">
        <v>2551</v>
      </c>
      <c r="D2234" s="187">
        <v>2619.8000000000002</v>
      </c>
      <c r="E2234" s="186">
        <v>8.17</v>
      </c>
      <c r="F2234" s="186">
        <v>8.02</v>
      </c>
      <c r="G2234" s="186">
        <v>4.6782503520000001</v>
      </c>
    </row>
    <row r="2235" spans="1:7" ht="14.4">
      <c r="A2235" s="186">
        <v>2234</v>
      </c>
      <c r="B2235" s="186" t="s">
        <v>663</v>
      </c>
      <c r="C2235" s="186" t="s">
        <v>2552</v>
      </c>
      <c r="D2235" s="186">
        <v>4.5999999999999996</v>
      </c>
      <c r="E2235" s="186">
        <v>8.3000000000000007</v>
      </c>
      <c r="F2235" s="186">
        <v>8.02</v>
      </c>
      <c r="G2235" s="186">
        <v>4.6782503520000001</v>
      </c>
    </row>
    <row r="2236" spans="1:7" ht="14.4">
      <c r="A2236" s="186">
        <v>2235</v>
      </c>
      <c r="B2236" s="186" t="s">
        <v>184</v>
      </c>
      <c r="C2236" s="186" t="s">
        <v>2553</v>
      </c>
      <c r="D2236" s="187">
        <v>6078.4</v>
      </c>
      <c r="E2236" s="186">
        <v>8.11</v>
      </c>
      <c r="F2236" s="186">
        <v>8.02</v>
      </c>
      <c r="G2236" s="186">
        <v>4.6782503520000001</v>
      </c>
    </row>
    <row r="2237" spans="1:7" ht="14.4">
      <c r="A2237" s="186">
        <v>2236</v>
      </c>
      <c r="B2237" s="186" t="s">
        <v>178</v>
      </c>
      <c r="C2237" s="186" t="s">
        <v>2554</v>
      </c>
      <c r="D2237" s="186">
        <v>103</v>
      </c>
      <c r="E2237" s="186">
        <v>8.24</v>
      </c>
      <c r="F2237" s="186">
        <v>8.0299999999999994</v>
      </c>
      <c r="G2237" s="186">
        <v>4.6869197959999997</v>
      </c>
    </row>
    <row r="2238" spans="1:7" ht="14.4">
      <c r="A2238" s="186">
        <v>2237</v>
      </c>
      <c r="B2238" s="186" t="s">
        <v>252</v>
      </c>
      <c r="C2238" s="186" t="s">
        <v>2555</v>
      </c>
      <c r="D2238" s="186">
        <v>0.6</v>
      </c>
      <c r="E2238" s="186">
        <v>8.27</v>
      </c>
      <c r="F2238" s="186">
        <v>8.0399999999999991</v>
      </c>
      <c r="G2238" s="186">
        <v>4.6956045020000001</v>
      </c>
    </row>
    <row r="2239" spans="1:7" ht="14.4">
      <c r="A2239" s="186">
        <v>2238</v>
      </c>
      <c r="B2239" s="186" t="s">
        <v>146</v>
      </c>
      <c r="C2239" s="186" t="s">
        <v>2556</v>
      </c>
      <c r="D2239" s="186">
        <v>20.399999999999999</v>
      </c>
      <c r="E2239" s="186">
        <v>8.5500000000000007</v>
      </c>
      <c r="F2239" s="186">
        <v>8.0399999999999991</v>
      </c>
      <c r="G2239" s="186">
        <v>4.6956045020000001</v>
      </c>
    </row>
    <row r="2240" spans="1:7" ht="14.4">
      <c r="A2240" s="186">
        <v>2239</v>
      </c>
      <c r="B2240" s="186" t="s">
        <v>1290</v>
      </c>
      <c r="C2240" s="186" t="s">
        <v>2557</v>
      </c>
      <c r="D2240" s="186">
        <v>51</v>
      </c>
      <c r="E2240" s="186">
        <v>8.19</v>
      </c>
      <c r="F2240" s="186">
        <v>8.0399999999999991</v>
      </c>
      <c r="G2240" s="186">
        <v>4.6956045020000001</v>
      </c>
    </row>
    <row r="2241" spans="1:7" ht="14.4">
      <c r="A2241" s="186">
        <v>2240</v>
      </c>
      <c r="B2241" s="186" t="s">
        <v>319</v>
      </c>
      <c r="C2241" s="186" t="s">
        <v>2558</v>
      </c>
      <c r="D2241" s="186">
        <v>24.4</v>
      </c>
      <c r="E2241" s="186">
        <v>7.74</v>
      </c>
      <c r="F2241" s="186">
        <v>8.0399999999999991</v>
      </c>
      <c r="G2241" s="186">
        <v>4.6956045020000001</v>
      </c>
    </row>
    <row r="2242" spans="1:7" ht="14.4">
      <c r="A2242" s="186">
        <v>2241</v>
      </c>
      <c r="B2242" s="186" t="s">
        <v>1761</v>
      </c>
      <c r="C2242" s="186" t="s">
        <v>2559</v>
      </c>
      <c r="D2242" s="186">
        <v>294</v>
      </c>
      <c r="E2242" s="186">
        <v>8.23</v>
      </c>
      <c r="F2242" s="186">
        <v>8.0399999999999991</v>
      </c>
      <c r="G2242" s="186">
        <v>4.6956045020000001</v>
      </c>
    </row>
    <row r="2243" spans="1:7" ht="14.4">
      <c r="A2243" s="186">
        <v>2242</v>
      </c>
      <c r="B2243" s="186" t="s">
        <v>340</v>
      </c>
      <c r="C2243" s="186" t="s">
        <v>2560</v>
      </c>
      <c r="D2243" s="187">
        <v>1471.5</v>
      </c>
      <c r="E2243" s="186">
        <v>8.08</v>
      </c>
      <c r="F2243" s="186">
        <v>8.0399999999999991</v>
      </c>
      <c r="G2243" s="186">
        <v>4.6956045020000001</v>
      </c>
    </row>
    <row r="2244" spans="1:7" ht="14.4">
      <c r="A2244" s="186">
        <v>2243</v>
      </c>
      <c r="B2244" s="186" t="s">
        <v>138</v>
      </c>
      <c r="C2244" s="186" t="s">
        <v>2561</v>
      </c>
      <c r="D2244" s="186">
        <v>39.4</v>
      </c>
      <c r="E2244" s="186">
        <v>8.36</v>
      </c>
      <c r="F2244" s="186">
        <v>8.0500000000000007</v>
      </c>
      <c r="G2244" s="186">
        <v>4.7043044939999996</v>
      </c>
    </row>
    <row r="2245" spans="1:7" ht="14.4">
      <c r="A2245" s="186">
        <v>2244</v>
      </c>
      <c r="B2245" s="186" t="s">
        <v>1228</v>
      </c>
      <c r="C2245" s="186" t="s">
        <v>2562</v>
      </c>
      <c r="D2245" s="186">
        <v>0.4</v>
      </c>
      <c r="E2245" s="186">
        <v>8.26</v>
      </c>
      <c r="F2245" s="186">
        <v>8.0500000000000007</v>
      </c>
      <c r="G2245" s="186">
        <v>4.7043044939999996</v>
      </c>
    </row>
    <row r="2246" spans="1:7" ht="14.4">
      <c r="A2246" s="186">
        <v>2245</v>
      </c>
      <c r="B2246" s="186" t="s">
        <v>114</v>
      </c>
      <c r="C2246" s="186" t="s">
        <v>2563</v>
      </c>
      <c r="D2246" s="186">
        <v>850.8</v>
      </c>
      <c r="E2246" s="186">
        <v>8.65</v>
      </c>
      <c r="F2246" s="186">
        <v>8.0500000000000007</v>
      </c>
      <c r="G2246" s="186">
        <v>4.7043044939999996</v>
      </c>
    </row>
    <row r="2247" spans="1:7" ht="14.4">
      <c r="A2247" s="186">
        <v>2246</v>
      </c>
      <c r="B2247" s="186" t="s">
        <v>451</v>
      </c>
      <c r="C2247" s="186" t="s">
        <v>2564</v>
      </c>
      <c r="D2247" s="187">
        <v>1747.4</v>
      </c>
      <c r="E2247" s="186">
        <v>8.01</v>
      </c>
      <c r="F2247" s="186">
        <v>8.0500000000000007</v>
      </c>
      <c r="G2247" s="186">
        <v>4.7043044939999996</v>
      </c>
    </row>
    <row r="2248" spans="1:7" ht="14.4">
      <c r="A2248" s="186">
        <v>2247</v>
      </c>
      <c r="B2248" s="186" t="s">
        <v>422</v>
      </c>
      <c r="C2248" s="186" t="s">
        <v>2565</v>
      </c>
      <c r="D2248" s="186">
        <v>38.4</v>
      </c>
      <c r="E2248" s="186">
        <v>8.0299999999999994</v>
      </c>
      <c r="F2248" s="186">
        <v>8.06</v>
      </c>
      <c r="G2248" s="186">
        <v>4.7130197980000004</v>
      </c>
    </row>
    <row r="2249" spans="1:7" ht="14.4">
      <c r="A2249" s="186">
        <v>2248</v>
      </c>
      <c r="B2249" s="186" t="s">
        <v>210</v>
      </c>
      <c r="C2249" s="186" t="s">
        <v>2566</v>
      </c>
      <c r="D2249" s="186">
        <v>306.89999999999998</v>
      </c>
      <c r="E2249" s="186">
        <v>7.96</v>
      </c>
      <c r="F2249" s="186">
        <v>8.06</v>
      </c>
      <c r="G2249" s="186">
        <v>4.7130197980000004</v>
      </c>
    </row>
    <row r="2250" spans="1:7" ht="14.4">
      <c r="A2250" s="186">
        <v>2249</v>
      </c>
      <c r="B2250" s="186" t="s">
        <v>565</v>
      </c>
      <c r="C2250" s="186" t="s">
        <v>2567</v>
      </c>
      <c r="D2250" s="186">
        <v>11.9</v>
      </c>
      <c r="E2250" s="186">
        <v>8.3800000000000008</v>
      </c>
      <c r="F2250" s="186">
        <v>8.06</v>
      </c>
      <c r="G2250" s="186">
        <v>4.7130197980000004</v>
      </c>
    </row>
    <row r="2251" spans="1:7" ht="14.4">
      <c r="A2251" s="186">
        <v>2250</v>
      </c>
      <c r="B2251" s="186" t="s">
        <v>2545</v>
      </c>
      <c r="C2251" s="186" t="s">
        <v>2568</v>
      </c>
      <c r="D2251" s="186">
        <v>385.5</v>
      </c>
      <c r="E2251" s="186">
        <v>8.2799999999999994</v>
      </c>
      <c r="F2251" s="186">
        <v>8.07</v>
      </c>
      <c r="G2251" s="186">
        <v>4.721750439</v>
      </c>
    </row>
    <row r="2252" spans="1:7" ht="14.4">
      <c r="A2252" s="186">
        <v>2251</v>
      </c>
      <c r="B2252" s="186" t="s">
        <v>2505</v>
      </c>
      <c r="C2252" s="186" t="s">
        <v>2569</v>
      </c>
      <c r="D2252" s="186">
        <v>939.2</v>
      </c>
      <c r="E2252" s="186">
        <v>8.1999999999999993</v>
      </c>
      <c r="F2252" s="186">
        <v>8.07</v>
      </c>
      <c r="G2252" s="186">
        <v>4.721750439</v>
      </c>
    </row>
    <row r="2253" spans="1:7" ht="14.4">
      <c r="A2253" s="186">
        <v>2252</v>
      </c>
      <c r="B2253" s="186" t="s">
        <v>178</v>
      </c>
      <c r="C2253" s="186" t="s">
        <v>2570</v>
      </c>
      <c r="D2253" s="186">
        <v>11</v>
      </c>
      <c r="E2253" s="186">
        <v>8.34</v>
      </c>
      <c r="F2253" s="186">
        <v>8.07</v>
      </c>
      <c r="G2253" s="186">
        <v>4.721750439</v>
      </c>
    </row>
    <row r="2254" spans="1:7" ht="14.4">
      <c r="A2254" s="186">
        <v>2253</v>
      </c>
      <c r="B2254" s="186" t="s">
        <v>536</v>
      </c>
      <c r="C2254" s="186" t="s">
        <v>2571</v>
      </c>
      <c r="D2254" s="186">
        <v>101.6</v>
      </c>
      <c r="E2254" s="186">
        <v>8.1999999999999993</v>
      </c>
      <c r="F2254" s="186">
        <v>8.07</v>
      </c>
      <c r="G2254" s="186">
        <v>4.721750439</v>
      </c>
    </row>
    <row r="2255" spans="1:7" ht="14.4">
      <c r="A2255" s="186">
        <v>2254</v>
      </c>
      <c r="B2255" s="186" t="s">
        <v>373</v>
      </c>
      <c r="C2255" s="186" t="s">
        <v>2572</v>
      </c>
      <c r="D2255" s="186">
        <v>0.9</v>
      </c>
      <c r="E2255" s="186">
        <v>8.18</v>
      </c>
      <c r="F2255" s="186">
        <v>8.07</v>
      </c>
      <c r="G2255" s="186">
        <v>4.721750439</v>
      </c>
    </row>
    <row r="2256" spans="1:7" ht="14.4">
      <c r="A2256" s="186">
        <v>2255</v>
      </c>
      <c r="B2256" s="186" t="s">
        <v>118</v>
      </c>
      <c r="C2256" s="186" t="s">
        <v>2573</v>
      </c>
      <c r="D2256" s="186">
        <v>38.299999999999997</v>
      </c>
      <c r="E2256" s="186">
        <v>8.27</v>
      </c>
      <c r="F2256" s="186">
        <v>8.07</v>
      </c>
      <c r="G2256" s="186">
        <v>4.721750439</v>
      </c>
    </row>
    <row r="2257" spans="1:7" ht="14.4">
      <c r="A2257" s="186">
        <v>2256</v>
      </c>
      <c r="B2257" s="186" t="s">
        <v>187</v>
      </c>
      <c r="C2257" s="186" t="s">
        <v>2574</v>
      </c>
      <c r="D2257" s="186">
        <v>953</v>
      </c>
      <c r="E2257" s="186">
        <v>8.24</v>
      </c>
      <c r="F2257" s="186">
        <v>8.07</v>
      </c>
      <c r="G2257" s="186">
        <v>4.721750439</v>
      </c>
    </row>
    <row r="2258" spans="1:7" ht="14.4">
      <c r="A2258" s="186">
        <v>2257</v>
      </c>
      <c r="B2258" s="186" t="s">
        <v>2575</v>
      </c>
      <c r="C2258" s="186" t="s">
        <v>2576</v>
      </c>
      <c r="D2258" s="186">
        <v>212.6</v>
      </c>
      <c r="E2258" s="186">
        <v>8.25</v>
      </c>
      <c r="F2258" s="186">
        <v>8.08</v>
      </c>
      <c r="G2258" s="186">
        <v>4.7304964429999998</v>
      </c>
    </row>
    <row r="2259" spans="1:7" ht="14.4">
      <c r="A2259" s="186">
        <v>2258</v>
      </c>
      <c r="B2259" s="186" t="s">
        <v>415</v>
      </c>
      <c r="C2259" s="186" t="s">
        <v>2577</v>
      </c>
      <c r="D2259" s="187">
        <v>3851</v>
      </c>
      <c r="E2259" s="186">
        <v>7.88</v>
      </c>
      <c r="F2259" s="186">
        <v>8.08</v>
      </c>
      <c r="G2259" s="186">
        <v>4.7304964429999998</v>
      </c>
    </row>
    <row r="2260" spans="1:7" ht="14.4">
      <c r="A2260" s="186">
        <v>2259</v>
      </c>
      <c r="B2260" s="186" t="s">
        <v>2260</v>
      </c>
      <c r="C2260" s="186" t="s">
        <v>2578</v>
      </c>
      <c r="D2260" s="186">
        <v>525</v>
      </c>
      <c r="E2260" s="186">
        <v>8.32</v>
      </c>
      <c r="F2260" s="186">
        <v>8.08</v>
      </c>
      <c r="G2260" s="186">
        <v>4.7304964429999998</v>
      </c>
    </row>
    <row r="2261" spans="1:7" ht="14.4">
      <c r="A2261" s="186">
        <v>2260</v>
      </c>
      <c r="B2261" s="186" t="s">
        <v>1228</v>
      </c>
      <c r="C2261" s="186" t="s">
        <v>2579</v>
      </c>
      <c r="D2261" s="186">
        <v>88.5</v>
      </c>
      <c r="E2261" s="186">
        <v>8.3699999999999992</v>
      </c>
      <c r="F2261" s="186">
        <v>8.09</v>
      </c>
      <c r="G2261" s="186">
        <v>4.7392578360000002</v>
      </c>
    </row>
    <row r="2262" spans="1:7" ht="14.4">
      <c r="A2262" s="186">
        <v>2261</v>
      </c>
      <c r="B2262" s="186" t="s">
        <v>1228</v>
      </c>
      <c r="C2262" s="186" t="s">
        <v>2580</v>
      </c>
      <c r="D2262" s="187">
        <v>2315</v>
      </c>
      <c r="E2262" s="186">
        <v>8.3699999999999992</v>
      </c>
      <c r="F2262" s="186">
        <v>8.09</v>
      </c>
      <c r="G2262" s="186">
        <v>4.7392578360000002</v>
      </c>
    </row>
    <row r="2263" spans="1:7" ht="14.4">
      <c r="A2263" s="186">
        <v>2262</v>
      </c>
      <c r="B2263" s="186" t="s">
        <v>335</v>
      </c>
      <c r="C2263" s="186" t="s">
        <v>2581</v>
      </c>
      <c r="D2263" s="186">
        <v>106.6</v>
      </c>
      <c r="E2263" s="186">
        <v>8.1999999999999993</v>
      </c>
      <c r="F2263" s="186">
        <v>8.09</v>
      </c>
      <c r="G2263" s="186">
        <v>4.7392578360000002</v>
      </c>
    </row>
    <row r="2264" spans="1:7" ht="14.4">
      <c r="A2264" s="186">
        <v>2263</v>
      </c>
      <c r="B2264" s="186" t="s">
        <v>2269</v>
      </c>
      <c r="C2264" s="186" t="s">
        <v>2582</v>
      </c>
      <c r="D2264" s="186">
        <v>11.5</v>
      </c>
      <c r="E2264" s="186">
        <v>8.11</v>
      </c>
      <c r="F2264" s="186">
        <v>8.09</v>
      </c>
      <c r="G2264" s="186">
        <v>4.7392578360000002</v>
      </c>
    </row>
    <row r="2265" spans="1:7" ht="14.4">
      <c r="A2265" s="186">
        <v>2264</v>
      </c>
      <c r="B2265" s="186" t="s">
        <v>1319</v>
      </c>
      <c r="C2265" s="186" t="s">
        <v>2583</v>
      </c>
      <c r="D2265" s="187">
        <v>2438.1999999999998</v>
      </c>
      <c r="E2265" s="186">
        <v>8.08</v>
      </c>
      <c r="F2265" s="186">
        <v>8.09</v>
      </c>
      <c r="G2265" s="186">
        <v>4.7392578360000002</v>
      </c>
    </row>
    <row r="2266" spans="1:7" ht="14.4">
      <c r="A2266" s="186">
        <v>2265</v>
      </c>
      <c r="B2266" s="186" t="s">
        <v>271</v>
      </c>
      <c r="C2266" s="186" t="s">
        <v>2584</v>
      </c>
      <c r="D2266" s="186">
        <v>348</v>
      </c>
      <c r="E2266" s="186">
        <v>8.07</v>
      </c>
      <c r="F2266" s="186">
        <v>8.1</v>
      </c>
      <c r="G2266" s="186">
        <v>4.7480346430000004</v>
      </c>
    </row>
    <row r="2267" spans="1:7" ht="14.4">
      <c r="A2267" s="186">
        <v>2266</v>
      </c>
      <c r="B2267" s="186" t="s">
        <v>178</v>
      </c>
      <c r="C2267" s="186" t="s">
        <v>2585</v>
      </c>
      <c r="D2267" s="186">
        <v>7.2</v>
      </c>
      <c r="E2267" s="186">
        <v>8.33</v>
      </c>
      <c r="F2267" s="186">
        <v>8.1</v>
      </c>
      <c r="G2267" s="186">
        <v>4.7480346430000004</v>
      </c>
    </row>
    <row r="2268" spans="1:7" ht="14.4">
      <c r="A2268" s="186">
        <v>2267</v>
      </c>
      <c r="B2268" s="186" t="s">
        <v>146</v>
      </c>
      <c r="C2268" s="186" t="s">
        <v>2586</v>
      </c>
      <c r="D2268" s="187">
        <v>1665.4</v>
      </c>
      <c r="E2268" s="186">
        <v>8.42</v>
      </c>
      <c r="F2268" s="186">
        <v>8.1</v>
      </c>
      <c r="G2268" s="186">
        <v>4.7480346430000004</v>
      </c>
    </row>
    <row r="2269" spans="1:7" ht="14.4">
      <c r="A2269" s="186">
        <v>2268</v>
      </c>
      <c r="B2269" s="186" t="s">
        <v>477</v>
      </c>
      <c r="C2269" s="186" t="s">
        <v>2587</v>
      </c>
      <c r="D2269" s="186">
        <v>148.19999999999999</v>
      </c>
      <c r="E2269" s="186">
        <v>8.39</v>
      </c>
      <c r="F2269" s="186">
        <v>8.1</v>
      </c>
      <c r="G2269" s="186">
        <v>4.7480346430000004</v>
      </c>
    </row>
    <row r="2270" spans="1:7" ht="14.4">
      <c r="A2270" s="186">
        <v>2269</v>
      </c>
      <c r="B2270" s="186" t="s">
        <v>477</v>
      </c>
      <c r="C2270" s="186" t="s">
        <v>2588</v>
      </c>
      <c r="D2270" s="186">
        <v>342.3</v>
      </c>
      <c r="E2270" s="186">
        <v>8.02</v>
      </c>
      <c r="F2270" s="186">
        <v>8.1</v>
      </c>
      <c r="G2270" s="186">
        <v>4.7480346430000004</v>
      </c>
    </row>
    <row r="2271" spans="1:7" ht="14.4">
      <c r="A2271" s="186">
        <v>2270</v>
      </c>
      <c r="B2271" s="186" t="s">
        <v>307</v>
      </c>
      <c r="C2271" s="186" t="s">
        <v>2589</v>
      </c>
      <c r="D2271" s="186">
        <v>114.6</v>
      </c>
      <c r="E2271" s="186">
        <v>8.77</v>
      </c>
      <c r="F2271" s="186">
        <v>8.1</v>
      </c>
      <c r="G2271" s="186">
        <v>4.7480346430000004</v>
      </c>
    </row>
    <row r="2272" spans="1:7" ht="14.4">
      <c r="A2272" s="186">
        <v>2271</v>
      </c>
      <c r="B2272" s="186" t="s">
        <v>307</v>
      </c>
      <c r="C2272" s="186" t="s">
        <v>2590</v>
      </c>
      <c r="D2272" s="186">
        <v>14.9</v>
      </c>
      <c r="E2272" s="186">
        <v>8.39</v>
      </c>
      <c r="F2272" s="186">
        <v>8.1</v>
      </c>
      <c r="G2272" s="186">
        <v>4.7480346430000004</v>
      </c>
    </row>
    <row r="2273" spans="1:7" ht="14.4">
      <c r="A2273" s="186">
        <v>2272</v>
      </c>
      <c r="B2273" s="186" t="s">
        <v>1290</v>
      </c>
      <c r="C2273" s="186" t="s">
        <v>2591</v>
      </c>
      <c r="D2273" s="186">
        <v>952.8</v>
      </c>
      <c r="E2273" s="186">
        <v>7.95</v>
      </c>
      <c r="F2273" s="186">
        <v>8.1</v>
      </c>
      <c r="G2273" s="186">
        <v>4.7480346430000004</v>
      </c>
    </row>
    <row r="2274" spans="1:7" ht="14.4">
      <c r="A2274" s="186">
        <v>2273</v>
      </c>
      <c r="B2274" s="186" t="s">
        <v>317</v>
      </c>
      <c r="C2274" s="186" t="s">
        <v>2592</v>
      </c>
      <c r="D2274" s="186">
        <v>9.1</v>
      </c>
      <c r="E2274" s="186">
        <v>8.27</v>
      </c>
      <c r="F2274" s="186">
        <v>8.1</v>
      </c>
      <c r="G2274" s="186">
        <v>4.7480346430000004</v>
      </c>
    </row>
    <row r="2275" spans="1:7" ht="14.4">
      <c r="A2275" s="186">
        <v>2274</v>
      </c>
      <c r="B2275" s="186" t="s">
        <v>1008</v>
      </c>
      <c r="C2275" s="186" t="s">
        <v>2593</v>
      </c>
      <c r="D2275" s="186">
        <v>83.1</v>
      </c>
      <c r="E2275" s="186">
        <v>8.2899999999999991</v>
      </c>
      <c r="F2275" s="186">
        <v>8.11</v>
      </c>
      <c r="G2275" s="186">
        <v>4.7568268910000002</v>
      </c>
    </row>
    <row r="2276" spans="1:7" ht="14.4">
      <c r="A2276" s="186">
        <v>2275</v>
      </c>
      <c r="B2276" s="186" t="s">
        <v>175</v>
      </c>
      <c r="C2276" s="186" t="s">
        <v>2594</v>
      </c>
      <c r="D2276" s="186">
        <v>619.70000000000005</v>
      </c>
      <c r="E2276" s="186">
        <v>8.09</v>
      </c>
      <c r="F2276" s="186">
        <v>8.11</v>
      </c>
      <c r="G2276" s="186">
        <v>4.7568268910000002</v>
      </c>
    </row>
    <row r="2277" spans="1:7" ht="14.4">
      <c r="A2277" s="186">
        <v>2276</v>
      </c>
      <c r="B2277" s="186" t="s">
        <v>2085</v>
      </c>
      <c r="C2277" s="186" t="s">
        <v>2595</v>
      </c>
      <c r="D2277" s="186">
        <v>381.8</v>
      </c>
      <c r="E2277" s="186">
        <v>8.15</v>
      </c>
      <c r="F2277" s="186">
        <v>8.11</v>
      </c>
      <c r="G2277" s="186">
        <v>4.7568268910000002</v>
      </c>
    </row>
    <row r="2278" spans="1:7" ht="14.4">
      <c r="A2278" s="186">
        <v>2277</v>
      </c>
      <c r="B2278" s="186" t="s">
        <v>226</v>
      </c>
      <c r="C2278" s="186" t="s">
        <v>2596</v>
      </c>
      <c r="D2278" s="186">
        <v>121.5</v>
      </c>
      <c r="E2278" s="186">
        <v>8.02</v>
      </c>
      <c r="F2278" s="186">
        <v>8.1199999999999992</v>
      </c>
      <c r="G2278" s="186">
        <v>4.7656346029999996</v>
      </c>
    </row>
    <row r="2279" spans="1:7" ht="14.4">
      <c r="A2279" s="186">
        <v>2278</v>
      </c>
      <c r="B2279" s="186" t="s">
        <v>226</v>
      </c>
      <c r="C2279" s="186" t="s">
        <v>2597</v>
      </c>
      <c r="D2279" s="186">
        <v>696.8</v>
      </c>
      <c r="E2279" s="186">
        <v>8.35</v>
      </c>
      <c r="F2279" s="186">
        <v>8.1199999999999992</v>
      </c>
      <c r="G2279" s="186">
        <v>4.7656346029999996</v>
      </c>
    </row>
    <row r="2280" spans="1:7" ht="14.4">
      <c r="A2280" s="186">
        <v>2279</v>
      </c>
      <c r="B2280" s="186" t="s">
        <v>146</v>
      </c>
      <c r="C2280" s="186" t="s">
        <v>2598</v>
      </c>
      <c r="D2280" s="186">
        <v>801.7</v>
      </c>
      <c r="E2280" s="186">
        <v>8.4499999999999993</v>
      </c>
      <c r="F2280" s="186">
        <v>8.1199999999999992</v>
      </c>
      <c r="G2280" s="186">
        <v>4.7656346029999996</v>
      </c>
    </row>
    <row r="2281" spans="1:7" ht="14.4">
      <c r="A2281" s="186">
        <v>2280</v>
      </c>
      <c r="B2281" s="186" t="s">
        <v>1290</v>
      </c>
      <c r="C2281" s="186" t="s">
        <v>2599</v>
      </c>
      <c r="D2281" s="186">
        <v>41.8</v>
      </c>
      <c r="E2281" s="186">
        <v>8.27</v>
      </c>
      <c r="F2281" s="186">
        <v>8.1199999999999992</v>
      </c>
      <c r="G2281" s="186">
        <v>4.7656346029999996</v>
      </c>
    </row>
    <row r="2282" spans="1:7" ht="14.4">
      <c r="A2282" s="186">
        <v>2281</v>
      </c>
      <c r="B2282" s="186" t="s">
        <v>340</v>
      </c>
      <c r="C2282" s="186" t="s">
        <v>2600</v>
      </c>
      <c r="D2282" s="186">
        <v>19.2</v>
      </c>
      <c r="E2282" s="186">
        <v>8.39</v>
      </c>
      <c r="F2282" s="186">
        <v>8.1199999999999992</v>
      </c>
      <c r="G2282" s="186">
        <v>4.7656346029999996</v>
      </c>
    </row>
    <row r="2283" spans="1:7" ht="14.4">
      <c r="A2283" s="186">
        <v>2282</v>
      </c>
      <c r="B2283" s="186" t="s">
        <v>340</v>
      </c>
      <c r="C2283" s="186" t="s">
        <v>2601</v>
      </c>
      <c r="D2283" s="186">
        <v>19.8</v>
      </c>
      <c r="E2283" s="186">
        <v>8.4600000000000009</v>
      </c>
      <c r="F2283" s="186">
        <v>8.1199999999999992</v>
      </c>
      <c r="G2283" s="186">
        <v>4.7656346029999996</v>
      </c>
    </row>
    <row r="2284" spans="1:7" ht="14.4">
      <c r="A2284" s="186">
        <v>2283</v>
      </c>
      <c r="B2284" s="186" t="s">
        <v>553</v>
      </c>
      <c r="C2284" s="186" t="s">
        <v>2602</v>
      </c>
      <c r="D2284" s="186">
        <v>26</v>
      </c>
      <c r="E2284" s="186">
        <v>8.51</v>
      </c>
      <c r="F2284" s="186">
        <v>8.1300000000000008</v>
      </c>
      <c r="G2284" s="186">
        <v>4.7744578080000002</v>
      </c>
    </row>
    <row r="2285" spans="1:7" ht="14.4">
      <c r="A2285" s="186">
        <v>2284</v>
      </c>
      <c r="B2285" s="186" t="s">
        <v>392</v>
      </c>
      <c r="C2285" s="186" t="s">
        <v>2603</v>
      </c>
      <c r="D2285" s="187">
        <v>3309.4</v>
      </c>
      <c r="E2285" s="186">
        <v>8.4499999999999993</v>
      </c>
      <c r="F2285" s="186">
        <v>8.1300000000000008</v>
      </c>
      <c r="G2285" s="186">
        <v>4.7744578080000002</v>
      </c>
    </row>
    <row r="2286" spans="1:7" ht="14.4">
      <c r="A2286" s="186">
        <v>2285</v>
      </c>
      <c r="B2286" s="186" t="s">
        <v>178</v>
      </c>
      <c r="C2286" s="186" t="s">
        <v>2604</v>
      </c>
      <c r="D2286" s="186">
        <v>12.4</v>
      </c>
      <c r="E2286" s="186">
        <v>8.0399999999999991</v>
      </c>
      <c r="F2286" s="186">
        <v>8.14</v>
      </c>
      <c r="G2286" s="186">
        <v>4.7832965290000002</v>
      </c>
    </row>
    <row r="2287" spans="1:7" ht="14.4">
      <c r="A2287" s="186">
        <v>2286</v>
      </c>
      <c r="B2287" s="186" t="s">
        <v>263</v>
      </c>
      <c r="C2287" s="186" t="s">
        <v>2605</v>
      </c>
      <c r="D2287" s="186">
        <v>43.1</v>
      </c>
      <c r="E2287" s="186">
        <v>8.3699999999999992</v>
      </c>
      <c r="F2287" s="186">
        <v>8.14</v>
      </c>
      <c r="G2287" s="186">
        <v>4.7832965290000002</v>
      </c>
    </row>
    <row r="2288" spans="1:7" ht="14.4">
      <c r="A2288" s="186">
        <v>2287</v>
      </c>
      <c r="B2288" s="186" t="s">
        <v>373</v>
      </c>
      <c r="C2288" s="186" t="s">
        <v>2606</v>
      </c>
      <c r="D2288" s="186">
        <v>0.1</v>
      </c>
      <c r="E2288" s="186">
        <v>8.25</v>
      </c>
      <c r="F2288" s="186">
        <v>8.14</v>
      </c>
      <c r="G2288" s="186">
        <v>4.7832965290000002</v>
      </c>
    </row>
    <row r="2289" spans="1:7" ht="14.4">
      <c r="A2289" s="186">
        <v>2288</v>
      </c>
      <c r="B2289" s="186" t="s">
        <v>1290</v>
      </c>
      <c r="C2289" s="186" t="s">
        <v>2607</v>
      </c>
      <c r="D2289" s="186">
        <v>120.2</v>
      </c>
      <c r="E2289" s="186">
        <v>8.2799999999999994</v>
      </c>
      <c r="F2289" s="186">
        <v>8.14</v>
      </c>
      <c r="G2289" s="186">
        <v>4.7832965290000002</v>
      </c>
    </row>
    <row r="2290" spans="1:7" ht="14.4">
      <c r="A2290" s="186">
        <v>2289</v>
      </c>
      <c r="B2290" s="186" t="s">
        <v>340</v>
      </c>
      <c r="C2290" s="186" t="s">
        <v>2608</v>
      </c>
      <c r="D2290" s="186">
        <v>142.19999999999999</v>
      </c>
      <c r="E2290" s="186">
        <v>7.99</v>
      </c>
      <c r="F2290" s="186">
        <v>8.14</v>
      </c>
      <c r="G2290" s="186">
        <v>4.7832965290000002</v>
      </c>
    </row>
    <row r="2291" spans="1:7" ht="14.4">
      <c r="A2291" s="186">
        <v>2290</v>
      </c>
      <c r="B2291" s="186" t="s">
        <v>271</v>
      </c>
      <c r="C2291" s="186" t="s">
        <v>2609</v>
      </c>
      <c r="D2291" s="186">
        <v>63.5</v>
      </c>
      <c r="E2291" s="186">
        <v>8.39</v>
      </c>
      <c r="F2291" s="186">
        <v>8.15</v>
      </c>
      <c r="G2291" s="186">
        <v>4.7921507940000003</v>
      </c>
    </row>
    <row r="2292" spans="1:7" ht="14.4">
      <c r="A2292" s="186">
        <v>2291</v>
      </c>
      <c r="B2292" s="186" t="s">
        <v>2610</v>
      </c>
      <c r="C2292" s="186" t="s">
        <v>2611</v>
      </c>
      <c r="D2292" s="186">
        <v>80.8</v>
      </c>
      <c r="E2292" s="186">
        <v>8.6300000000000008</v>
      </c>
      <c r="F2292" s="186">
        <v>8.15</v>
      </c>
      <c r="G2292" s="186">
        <v>4.7921507940000003</v>
      </c>
    </row>
    <row r="2293" spans="1:7" ht="14.4">
      <c r="A2293" s="186">
        <v>2292</v>
      </c>
      <c r="B2293" s="186" t="s">
        <v>280</v>
      </c>
      <c r="C2293" s="186" t="s">
        <v>2612</v>
      </c>
      <c r="D2293" s="186">
        <v>11.4</v>
      </c>
      <c r="E2293" s="186">
        <v>9.06</v>
      </c>
      <c r="F2293" s="186">
        <v>8.15</v>
      </c>
      <c r="G2293" s="186">
        <v>4.7921507940000003</v>
      </c>
    </row>
    <row r="2294" spans="1:7" ht="14.4">
      <c r="A2294" s="186">
        <v>2293</v>
      </c>
      <c r="B2294" s="186" t="s">
        <v>2613</v>
      </c>
      <c r="C2294" s="186" t="s">
        <v>2614</v>
      </c>
      <c r="D2294" s="186">
        <v>177.1</v>
      </c>
      <c r="E2294" s="186">
        <v>8.33</v>
      </c>
      <c r="F2294" s="186">
        <v>8.16</v>
      </c>
      <c r="G2294" s="186">
        <v>4.8010206279999998</v>
      </c>
    </row>
    <row r="2295" spans="1:7" ht="14.4">
      <c r="A2295" s="186">
        <v>2294</v>
      </c>
      <c r="B2295" s="186" t="s">
        <v>271</v>
      </c>
      <c r="C2295" s="186" t="s">
        <v>2615</v>
      </c>
      <c r="D2295" s="187">
        <v>5455.9</v>
      </c>
      <c r="E2295" s="186">
        <v>8.1</v>
      </c>
      <c r="F2295" s="186">
        <v>8.16</v>
      </c>
      <c r="G2295" s="186">
        <v>4.8010206279999998</v>
      </c>
    </row>
    <row r="2296" spans="1:7" ht="14.4">
      <c r="A2296" s="186">
        <v>2295</v>
      </c>
      <c r="B2296" s="186" t="s">
        <v>365</v>
      </c>
      <c r="C2296" s="186" t="s">
        <v>2616</v>
      </c>
      <c r="D2296" s="186">
        <v>829.9</v>
      </c>
      <c r="E2296" s="186">
        <v>8.2899999999999991</v>
      </c>
      <c r="F2296" s="186">
        <v>8.16</v>
      </c>
      <c r="G2296" s="186">
        <v>4.8010206279999998</v>
      </c>
    </row>
    <row r="2297" spans="1:7" ht="14.4">
      <c r="A2297" s="186">
        <v>2296</v>
      </c>
      <c r="B2297" s="186" t="s">
        <v>953</v>
      </c>
      <c r="C2297" s="186" t="s">
        <v>2617</v>
      </c>
      <c r="D2297" s="186">
        <v>35.5</v>
      </c>
      <c r="E2297" s="186">
        <v>8.41</v>
      </c>
      <c r="F2297" s="186">
        <v>8.16</v>
      </c>
      <c r="G2297" s="186">
        <v>4.8010206279999998</v>
      </c>
    </row>
    <row r="2298" spans="1:7" ht="14.4">
      <c r="A2298" s="186">
        <v>2297</v>
      </c>
      <c r="B2298" s="186" t="s">
        <v>2618</v>
      </c>
      <c r="C2298" s="186" t="s">
        <v>2619</v>
      </c>
      <c r="D2298" s="186">
        <v>265.3</v>
      </c>
      <c r="E2298" s="186">
        <v>8.39</v>
      </c>
      <c r="F2298" s="186">
        <v>8.16</v>
      </c>
      <c r="G2298" s="186">
        <v>4.8010206279999998</v>
      </c>
    </row>
    <row r="2299" spans="1:7" ht="14.4">
      <c r="A2299" s="186">
        <v>2298</v>
      </c>
      <c r="B2299" s="186" t="s">
        <v>146</v>
      </c>
      <c r="C2299" s="186" t="s">
        <v>2620</v>
      </c>
      <c r="D2299" s="187">
        <v>1164.8</v>
      </c>
      <c r="E2299" s="186">
        <v>8.48</v>
      </c>
      <c r="F2299" s="186">
        <v>8.16</v>
      </c>
      <c r="G2299" s="186">
        <v>4.8010206279999998</v>
      </c>
    </row>
    <row r="2300" spans="1:7" ht="14.4">
      <c r="A2300" s="186">
        <v>2299</v>
      </c>
      <c r="B2300" s="186" t="s">
        <v>1228</v>
      </c>
      <c r="C2300" s="186" t="s">
        <v>2621</v>
      </c>
      <c r="D2300" s="186">
        <v>48.8</v>
      </c>
      <c r="E2300" s="186">
        <v>8.26</v>
      </c>
      <c r="F2300" s="186">
        <v>8.17</v>
      </c>
      <c r="G2300" s="186">
        <v>4.8099060570000001</v>
      </c>
    </row>
    <row r="2301" spans="1:7" ht="14.4">
      <c r="A2301" s="186">
        <v>2300</v>
      </c>
      <c r="B2301" s="186" t="s">
        <v>210</v>
      </c>
      <c r="C2301" s="186" t="s">
        <v>2622</v>
      </c>
      <c r="D2301" s="186">
        <v>170</v>
      </c>
      <c r="E2301" s="186">
        <v>8.2100000000000009</v>
      </c>
      <c r="F2301" s="186">
        <v>8.17</v>
      </c>
      <c r="G2301" s="186">
        <v>4.8099060570000001</v>
      </c>
    </row>
    <row r="2302" spans="1:7" ht="14.4">
      <c r="A2302" s="186">
        <v>2301</v>
      </c>
      <c r="B2302" s="186" t="s">
        <v>307</v>
      </c>
      <c r="C2302" s="186" t="s">
        <v>2623</v>
      </c>
      <c r="D2302" s="186">
        <v>102.7</v>
      </c>
      <c r="E2302" s="186">
        <v>8.41</v>
      </c>
      <c r="F2302" s="186">
        <v>8.17</v>
      </c>
      <c r="G2302" s="186">
        <v>4.8099060570000001</v>
      </c>
    </row>
    <row r="2303" spans="1:7" ht="14.4">
      <c r="A2303" s="186">
        <v>2302</v>
      </c>
      <c r="B2303" s="186" t="s">
        <v>801</v>
      </c>
      <c r="C2303" s="186" t="s">
        <v>2624</v>
      </c>
      <c r="D2303" s="186">
        <v>251.4</v>
      </c>
      <c r="E2303" s="186">
        <v>8.01</v>
      </c>
      <c r="F2303" s="186">
        <v>8.17</v>
      </c>
      <c r="G2303" s="186">
        <v>4.8099060570000001</v>
      </c>
    </row>
    <row r="2304" spans="1:7" ht="14.4">
      <c r="A2304" s="186">
        <v>2303</v>
      </c>
      <c r="B2304" s="186" t="s">
        <v>187</v>
      </c>
      <c r="C2304" s="186" t="s">
        <v>2625</v>
      </c>
      <c r="D2304" s="187">
        <v>21208.5</v>
      </c>
      <c r="E2304" s="186">
        <v>8.4</v>
      </c>
      <c r="F2304" s="186">
        <v>8.17</v>
      </c>
      <c r="G2304" s="186">
        <v>4.8099060570000001</v>
      </c>
    </row>
    <row r="2305" spans="1:7" ht="14.4">
      <c r="A2305" s="186">
        <v>2304</v>
      </c>
      <c r="B2305" s="186" t="s">
        <v>2384</v>
      </c>
      <c r="C2305" s="186" t="s">
        <v>2626</v>
      </c>
      <c r="D2305" s="186">
        <v>627.9</v>
      </c>
      <c r="E2305" s="186">
        <v>8.2899999999999991</v>
      </c>
      <c r="F2305" s="186">
        <v>8.17</v>
      </c>
      <c r="G2305" s="186">
        <v>4.8099060570000001</v>
      </c>
    </row>
    <row r="2306" spans="1:7" ht="14.4">
      <c r="A2306" s="186">
        <v>2305</v>
      </c>
      <c r="B2306" s="186" t="s">
        <v>1228</v>
      </c>
      <c r="C2306" s="186" t="s">
        <v>2627</v>
      </c>
      <c r="D2306" s="186">
        <v>35.4</v>
      </c>
      <c r="E2306" s="186">
        <v>8.4600000000000009</v>
      </c>
      <c r="F2306" s="186">
        <v>8.18</v>
      </c>
      <c r="G2306" s="186">
        <v>4.8188071060000004</v>
      </c>
    </row>
    <row r="2307" spans="1:7" ht="14.4">
      <c r="A2307" s="186">
        <v>2306</v>
      </c>
      <c r="B2307" s="186" t="s">
        <v>178</v>
      </c>
      <c r="C2307" s="186" t="s">
        <v>2628</v>
      </c>
      <c r="D2307" s="186">
        <v>43.4</v>
      </c>
      <c r="E2307" s="186">
        <v>8.06</v>
      </c>
      <c r="F2307" s="186">
        <v>8.18</v>
      </c>
      <c r="G2307" s="186">
        <v>4.8188071060000004</v>
      </c>
    </row>
    <row r="2308" spans="1:7" ht="14.4">
      <c r="A2308" s="186">
        <v>2307</v>
      </c>
      <c r="B2308" s="186" t="s">
        <v>175</v>
      </c>
      <c r="C2308" s="186" t="s">
        <v>2629</v>
      </c>
      <c r="D2308" s="186">
        <v>41.2</v>
      </c>
      <c r="E2308" s="186">
        <v>8.31</v>
      </c>
      <c r="F2308" s="186">
        <v>8.18</v>
      </c>
      <c r="G2308" s="186">
        <v>4.8188071060000004</v>
      </c>
    </row>
    <row r="2309" spans="1:7" ht="14.4">
      <c r="A2309" s="186">
        <v>2308</v>
      </c>
      <c r="B2309" s="186" t="s">
        <v>226</v>
      </c>
      <c r="C2309" s="186" t="s">
        <v>2630</v>
      </c>
      <c r="D2309" s="186">
        <v>67.7</v>
      </c>
      <c r="E2309" s="186">
        <v>8.4</v>
      </c>
      <c r="F2309" s="186">
        <v>8.18</v>
      </c>
      <c r="G2309" s="186">
        <v>4.8188071060000004</v>
      </c>
    </row>
    <row r="2310" spans="1:7" ht="14.4">
      <c r="A2310" s="186">
        <v>2309</v>
      </c>
      <c r="B2310" s="186" t="s">
        <v>213</v>
      </c>
      <c r="C2310" s="186" t="s">
        <v>2631</v>
      </c>
      <c r="D2310" s="186">
        <v>345.9</v>
      </c>
      <c r="E2310" s="186">
        <v>7.77</v>
      </c>
      <c r="F2310" s="186">
        <v>8.18</v>
      </c>
      <c r="G2310" s="186">
        <v>4.8188071060000004</v>
      </c>
    </row>
    <row r="2311" spans="1:7" ht="14.4">
      <c r="A2311" s="186">
        <v>2310</v>
      </c>
      <c r="B2311" s="186" t="s">
        <v>1228</v>
      </c>
      <c r="C2311" s="186" t="s">
        <v>2632</v>
      </c>
      <c r="D2311" s="186">
        <v>45.2</v>
      </c>
      <c r="E2311" s="186">
        <v>8.2899999999999991</v>
      </c>
      <c r="F2311" s="186">
        <v>8.19</v>
      </c>
      <c r="G2311" s="186">
        <v>4.8277238029999996</v>
      </c>
    </row>
    <row r="2312" spans="1:7" ht="14.4">
      <c r="A2312" s="186">
        <v>2311</v>
      </c>
      <c r="B2312" s="186" t="s">
        <v>175</v>
      </c>
      <c r="C2312" s="186" t="s">
        <v>2633</v>
      </c>
      <c r="D2312" s="186">
        <v>91.7</v>
      </c>
      <c r="E2312" s="186">
        <v>8.19</v>
      </c>
      <c r="F2312" s="186">
        <v>8.19</v>
      </c>
      <c r="G2312" s="186">
        <v>4.8277238029999996</v>
      </c>
    </row>
    <row r="2313" spans="1:7" ht="14.4">
      <c r="A2313" s="186">
        <v>2312</v>
      </c>
      <c r="B2313" s="186" t="s">
        <v>148</v>
      </c>
      <c r="C2313" s="186" t="s">
        <v>2634</v>
      </c>
      <c r="D2313" s="186">
        <v>449.3</v>
      </c>
      <c r="E2313" s="186">
        <v>8.6</v>
      </c>
      <c r="F2313" s="186">
        <v>8.19</v>
      </c>
      <c r="G2313" s="186">
        <v>4.8277238029999996</v>
      </c>
    </row>
    <row r="2314" spans="1:7" ht="14.4">
      <c r="A2314" s="186">
        <v>2313</v>
      </c>
      <c r="B2314" s="186" t="s">
        <v>2178</v>
      </c>
      <c r="C2314" s="186" t="s">
        <v>2635</v>
      </c>
      <c r="D2314" s="186">
        <v>83.7</v>
      </c>
      <c r="E2314" s="186">
        <v>8.74</v>
      </c>
      <c r="F2314" s="186">
        <v>8.19</v>
      </c>
      <c r="G2314" s="186">
        <v>4.8277238029999996</v>
      </c>
    </row>
    <row r="2315" spans="1:7" ht="14.4">
      <c r="A2315" s="186">
        <v>2314</v>
      </c>
      <c r="B2315" s="186" t="s">
        <v>553</v>
      </c>
      <c r="C2315" s="186" t="s">
        <v>2636</v>
      </c>
      <c r="D2315" s="186">
        <v>32.9</v>
      </c>
      <c r="E2315" s="186">
        <v>8.26</v>
      </c>
      <c r="F2315" s="186">
        <v>8.1999999999999993</v>
      </c>
      <c r="G2315" s="186">
        <v>4.8366561719999996</v>
      </c>
    </row>
    <row r="2316" spans="1:7" ht="14.4">
      <c r="A2316" s="186">
        <v>2315</v>
      </c>
      <c r="B2316" s="186" t="s">
        <v>280</v>
      </c>
      <c r="C2316" s="186" t="s">
        <v>2637</v>
      </c>
      <c r="D2316" s="186">
        <v>13</v>
      </c>
      <c r="E2316" s="186">
        <v>8.6300000000000008</v>
      </c>
      <c r="F2316" s="186">
        <v>8.2100000000000009</v>
      </c>
      <c r="G2316" s="186">
        <v>4.8456042410000002</v>
      </c>
    </row>
    <row r="2317" spans="1:7" ht="14.4">
      <c r="A2317" s="186">
        <v>2316</v>
      </c>
      <c r="B2317" s="186" t="s">
        <v>602</v>
      </c>
      <c r="C2317" s="186" t="s">
        <v>2638</v>
      </c>
      <c r="D2317" s="186">
        <v>49.7</v>
      </c>
      <c r="E2317" s="186">
        <v>8.7100000000000009</v>
      </c>
      <c r="F2317" s="186">
        <v>8.2200000000000006</v>
      </c>
      <c r="G2317" s="186">
        <v>4.8545680349999998</v>
      </c>
    </row>
    <row r="2318" spans="1:7" ht="14.4">
      <c r="A2318" s="186">
        <v>2317</v>
      </c>
      <c r="B2318" s="186" t="s">
        <v>146</v>
      </c>
      <c r="C2318" s="186" t="s">
        <v>2639</v>
      </c>
      <c r="D2318" s="187">
        <v>6359.5</v>
      </c>
      <c r="E2318" s="186">
        <v>8.2100000000000009</v>
      </c>
      <c r="F2318" s="186">
        <v>8.2200000000000006</v>
      </c>
      <c r="G2318" s="186">
        <v>4.8545680349999998</v>
      </c>
    </row>
    <row r="2319" spans="1:7" ht="14.4">
      <c r="A2319" s="186">
        <v>2318</v>
      </c>
      <c r="B2319" s="186" t="s">
        <v>184</v>
      </c>
      <c r="C2319" s="186" t="s">
        <v>2640</v>
      </c>
      <c r="D2319" s="187">
        <v>1672.4</v>
      </c>
      <c r="E2319" s="186">
        <v>8.5299999999999994</v>
      </c>
      <c r="F2319" s="186">
        <v>8.2200000000000006</v>
      </c>
      <c r="G2319" s="186">
        <v>4.8545680349999998</v>
      </c>
    </row>
    <row r="2320" spans="1:7" ht="14.4">
      <c r="A2320" s="186">
        <v>2319</v>
      </c>
      <c r="B2320" s="186" t="s">
        <v>146</v>
      </c>
      <c r="C2320" s="186" t="s">
        <v>2641</v>
      </c>
      <c r="D2320" s="186">
        <v>897.9</v>
      </c>
      <c r="E2320" s="186">
        <v>8.32</v>
      </c>
      <c r="F2320" s="186">
        <v>8.23</v>
      </c>
      <c r="G2320" s="186">
        <v>4.8635475799999996</v>
      </c>
    </row>
    <row r="2321" spans="1:7" ht="14.4">
      <c r="A2321" s="186">
        <v>2320</v>
      </c>
      <c r="B2321" s="186" t="s">
        <v>335</v>
      </c>
      <c r="C2321" s="186" t="s">
        <v>2642</v>
      </c>
      <c r="D2321" s="186">
        <v>221.8</v>
      </c>
      <c r="E2321" s="186">
        <v>8.4600000000000009</v>
      </c>
      <c r="F2321" s="186">
        <v>8.23</v>
      </c>
      <c r="G2321" s="186">
        <v>4.8635475799999996</v>
      </c>
    </row>
    <row r="2322" spans="1:7" ht="14.4">
      <c r="A2322" s="186">
        <v>2321</v>
      </c>
      <c r="B2322" s="186" t="s">
        <v>415</v>
      </c>
      <c r="C2322" s="186" t="s">
        <v>2643</v>
      </c>
      <c r="D2322" s="187">
        <v>6417.9</v>
      </c>
      <c r="E2322" s="186">
        <v>8.36</v>
      </c>
      <c r="F2322" s="186">
        <v>8.24</v>
      </c>
      <c r="G2322" s="186">
        <v>4.8725429030000003</v>
      </c>
    </row>
    <row r="2323" spans="1:7" ht="14.4">
      <c r="A2323" s="186">
        <v>2322</v>
      </c>
      <c r="B2323" s="186" t="s">
        <v>801</v>
      </c>
      <c r="C2323" s="186" t="s">
        <v>2644</v>
      </c>
      <c r="D2323" s="186">
        <v>5.7</v>
      </c>
      <c r="E2323" s="186">
        <v>8.48</v>
      </c>
      <c r="F2323" s="186">
        <v>8.24</v>
      </c>
      <c r="G2323" s="186">
        <v>4.8725429030000003</v>
      </c>
    </row>
    <row r="2324" spans="1:7" ht="14.4">
      <c r="A2324" s="186">
        <v>2323</v>
      </c>
      <c r="B2324" s="186" t="s">
        <v>712</v>
      </c>
      <c r="C2324" s="186" t="s">
        <v>2645</v>
      </c>
      <c r="D2324" s="186">
        <v>47.1</v>
      </c>
      <c r="E2324" s="186">
        <v>8.33</v>
      </c>
      <c r="F2324" s="186">
        <v>8.25</v>
      </c>
      <c r="G2324" s="186">
        <v>4.8815540300000002</v>
      </c>
    </row>
    <row r="2325" spans="1:7" ht="14.4">
      <c r="A2325" s="186">
        <v>2324</v>
      </c>
      <c r="B2325" s="186" t="s">
        <v>422</v>
      </c>
      <c r="C2325" s="186" t="s">
        <v>2646</v>
      </c>
      <c r="D2325" s="186">
        <v>66.599999999999994</v>
      </c>
      <c r="E2325" s="186">
        <v>8.4700000000000006</v>
      </c>
      <c r="F2325" s="186">
        <v>8.25</v>
      </c>
      <c r="G2325" s="186">
        <v>4.8815540300000002</v>
      </c>
    </row>
    <row r="2326" spans="1:7" ht="14.4">
      <c r="A2326" s="186">
        <v>2325</v>
      </c>
      <c r="B2326" s="186" t="s">
        <v>422</v>
      </c>
      <c r="C2326" s="186" t="s">
        <v>2647</v>
      </c>
      <c r="D2326" s="186">
        <v>305.39999999999998</v>
      </c>
      <c r="E2326" s="186">
        <v>8.4700000000000006</v>
      </c>
      <c r="F2326" s="186">
        <v>8.25</v>
      </c>
      <c r="G2326" s="186">
        <v>4.8815540300000002</v>
      </c>
    </row>
    <row r="2327" spans="1:7" ht="14.4">
      <c r="A2327" s="186">
        <v>2326</v>
      </c>
      <c r="B2327" s="186" t="s">
        <v>175</v>
      </c>
      <c r="C2327" s="186" t="s">
        <v>2648</v>
      </c>
      <c r="D2327" s="186">
        <v>264</v>
      </c>
      <c r="E2327" s="186">
        <v>8.16</v>
      </c>
      <c r="F2327" s="186">
        <v>8.25</v>
      </c>
      <c r="G2327" s="186">
        <v>4.8815540300000002</v>
      </c>
    </row>
    <row r="2328" spans="1:7" ht="14.4">
      <c r="A2328" s="186">
        <v>2327</v>
      </c>
      <c r="B2328" s="186" t="s">
        <v>545</v>
      </c>
      <c r="C2328" s="186" t="s">
        <v>2649</v>
      </c>
      <c r="D2328" s="186">
        <v>16.8</v>
      </c>
      <c r="E2328" s="186">
        <v>8.5299999999999994</v>
      </c>
      <c r="F2328" s="186">
        <v>8.25</v>
      </c>
      <c r="G2328" s="186">
        <v>4.8815540300000002</v>
      </c>
    </row>
    <row r="2329" spans="1:7" ht="14.4">
      <c r="A2329" s="186">
        <v>2328</v>
      </c>
      <c r="B2329" s="186" t="s">
        <v>340</v>
      </c>
      <c r="C2329" s="186" t="s">
        <v>2650</v>
      </c>
      <c r="D2329" s="186">
        <v>31</v>
      </c>
      <c r="E2329" s="186">
        <v>8.3000000000000007</v>
      </c>
      <c r="F2329" s="186">
        <v>8.25</v>
      </c>
      <c r="G2329" s="186">
        <v>4.8815540300000002</v>
      </c>
    </row>
    <row r="2330" spans="1:7" ht="14.4">
      <c r="A2330" s="186">
        <v>2329</v>
      </c>
      <c r="B2330" s="186" t="s">
        <v>1228</v>
      </c>
      <c r="C2330" s="186" t="s">
        <v>2651</v>
      </c>
      <c r="D2330" s="186">
        <v>505.7</v>
      </c>
      <c r="E2330" s="186">
        <v>8.08</v>
      </c>
      <c r="F2330" s="186">
        <v>8.26</v>
      </c>
      <c r="G2330" s="186">
        <v>4.8905809869999999</v>
      </c>
    </row>
    <row r="2331" spans="1:7" ht="14.4">
      <c r="A2331" s="186">
        <v>2330</v>
      </c>
      <c r="B2331" s="186" t="s">
        <v>271</v>
      </c>
      <c r="C2331" s="186" t="s">
        <v>2652</v>
      </c>
      <c r="D2331" s="186">
        <v>9.4</v>
      </c>
      <c r="E2331" s="186">
        <v>8.66</v>
      </c>
      <c r="F2331" s="186">
        <v>8.26</v>
      </c>
      <c r="G2331" s="186">
        <v>4.8905809869999999</v>
      </c>
    </row>
    <row r="2332" spans="1:7" ht="14.4">
      <c r="A2332" s="186">
        <v>2331</v>
      </c>
      <c r="B2332" s="186" t="s">
        <v>226</v>
      </c>
      <c r="C2332" s="186" t="s">
        <v>2653</v>
      </c>
      <c r="D2332" s="186">
        <v>465.4</v>
      </c>
      <c r="E2332" s="186">
        <v>8.48</v>
      </c>
      <c r="F2332" s="186">
        <v>8.26</v>
      </c>
      <c r="G2332" s="186">
        <v>4.8905809869999999</v>
      </c>
    </row>
    <row r="2333" spans="1:7" ht="14.4">
      <c r="A2333" s="186">
        <v>2332</v>
      </c>
      <c r="B2333" s="186" t="s">
        <v>373</v>
      </c>
      <c r="C2333" s="186" t="s">
        <v>2654</v>
      </c>
      <c r="D2333" s="186">
        <v>247.8</v>
      </c>
      <c r="E2333" s="186">
        <v>8.09</v>
      </c>
      <c r="F2333" s="186">
        <v>8.26</v>
      </c>
      <c r="G2333" s="186">
        <v>4.8905809869999999</v>
      </c>
    </row>
    <row r="2334" spans="1:7" ht="14.4">
      <c r="A2334" s="186">
        <v>2333</v>
      </c>
      <c r="B2334" s="186" t="s">
        <v>2307</v>
      </c>
      <c r="C2334" s="186" t="s">
        <v>2655</v>
      </c>
      <c r="D2334" s="186">
        <v>247.3</v>
      </c>
      <c r="E2334" s="186">
        <v>8.3699999999999992</v>
      </c>
      <c r="F2334" s="186">
        <v>8.26</v>
      </c>
      <c r="G2334" s="186">
        <v>4.8905809869999999</v>
      </c>
    </row>
    <row r="2335" spans="1:7" ht="14.4">
      <c r="A2335" s="186">
        <v>2334</v>
      </c>
      <c r="B2335" s="186" t="s">
        <v>234</v>
      </c>
      <c r="C2335" s="186" t="s">
        <v>2656</v>
      </c>
      <c r="D2335" s="187">
        <v>1462.2</v>
      </c>
      <c r="E2335" s="186">
        <v>8.44</v>
      </c>
      <c r="F2335" s="186">
        <v>8.27</v>
      </c>
      <c r="G2335" s="186">
        <v>4.8996237999999996</v>
      </c>
    </row>
    <row r="2336" spans="1:7" ht="14.4">
      <c r="A2336" s="186">
        <v>2335</v>
      </c>
      <c r="B2336" s="186" t="s">
        <v>138</v>
      </c>
      <c r="C2336" s="186" t="s">
        <v>2657</v>
      </c>
      <c r="D2336" s="186">
        <v>0.1</v>
      </c>
      <c r="E2336" s="186">
        <v>8.11</v>
      </c>
      <c r="F2336" s="186">
        <v>8.2799999999999994</v>
      </c>
      <c r="G2336" s="186">
        <v>4.908682497</v>
      </c>
    </row>
    <row r="2337" spans="1:7" ht="14.4">
      <c r="A2337" s="186">
        <v>2336</v>
      </c>
      <c r="B2337" s="186" t="s">
        <v>1228</v>
      </c>
      <c r="C2337" s="186" t="s">
        <v>2658</v>
      </c>
      <c r="D2337" s="186">
        <v>329.1</v>
      </c>
      <c r="E2337" s="186">
        <v>8.43</v>
      </c>
      <c r="F2337" s="186">
        <v>8.2799999999999994</v>
      </c>
      <c r="G2337" s="186">
        <v>4.908682497</v>
      </c>
    </row>
    <row r="2338" spans="1:7" ht="14.4">
      <c r="A2338" s="186">
        <v>2337</v>
      </c>
      <c r="B2338" s="186" t="s">
        <v>2659</v>
      </c>
      <c r="C2338" s="186" t="s">
        <v>2660</v>
      </c>
      <c r="D2338" s="186">
        <v>78.5</v>
      </c>
      <c r="E2338" s="186">
        <v>8.6199999999999992</v>
      </c>
      <c r="F2338" s="186">
        <v>8.2799999999999994</v>
      </c>
      <c r="G2338" s="186">
        <v>4.908682497</v>
      </c>
    </row>
    <row r="2339" spans="1:7" ht="14.4">
      <c r="A2339" s="186">
        <v>2338</v>
      </c>
      <c r="B2339" s="186" t="s">
        <v>362</v>
      </c>
      <c r="C2339" s="186" t="s">
        <v>2661</v>
      </c>
      <c r="D2339" s="186">
        <v>981.8</v>
      </c>
      <c r="E2339" s="186">
        <v>8.2799999999999994</v>
      </c>
      <c r="F2339" s="186">
        <v>8.2799999999999994</v>
      </c>
      <c r="G2339" s="186">
        <v>4.908682497</v>
      </c>
    </row>
    <row r="2340" spans="1:7" ht="14.4">
      <c r="A2340" s="186">
        <v>2339</v>
      </c>
      <c r="B2340" s="186" t="s">
        <v>2662</v>
      </c>
      <c r="C2340" s="186" t="s">
        <v>2663</v>
      </c>
      <c r="D2340" s="186">
        <v>720.3</v>
      </c>
      <c r="E2340" s="186">
        <v>8.5399999999999991</v>
      </c>
      <c r="F2340" s="186">
        <v>8.2799999999999994</v>
      </c>
      <c r="G2340" s="186">
        <v>4.908682497</v>
      </c>
    </row>
    <row r="2341" spans="1:7" ht="14.4">
      <c r="A2341" s="186">
        <v>2340</v>
      </c>
      <c r="B2341" s="186" t="s">
        <v>2662</v>
      </c>
      <c r="C2341" s="186" t="s">
        <v>2664</v>
      </c>
      <c r="D2341" s="186">
        <v>351</v>
      </c>
      <c r="E2341" s="186">
        <v>8.5299999999999994</v>
      </c>
      <c r="F2341" s="186">
        <v>8.2799999999999994</v>
      </c>
      <c r="G2341" s="186">
        <v>4.908682497</v>
      </c>
    </row>
    <row r="2342" spans="1:7" ht="14.4">
      <c r="A2342" s="186">
        <v>2341</v>
      </c>
      <c r="B2342" s="186" t="s">
        <v>2665</v>
      </c>
      <c r="C2342" s="186" t="s">
        <v>2666</v>
      </c>
      <c r="D2342" s="187">
        <v>2653.1</v>
      </c>
      <c r="E2342" s="186">
        <v>8.33</v>
      </c>
      <c r="F2342" s="186">
        <v>8.2799999999999994</v>
      </c>
      <c r="G2342" s="186">
        <v>4.908682497</v>
      </c>
    </row>
    <row r="2343" spans="1:7" ht="14.4">
      <c r="A2343" s="186">
        <v>2342</v>
      </c>
      <c r="B2343" s="186" t="s">
        <v>477</v>
      </c>
      <c r="C2343" s="186" t="s">
        <v>2667</v>
      </c>
      <c r="D2343" s="187">
        <v>1595.6</v>
      </c>
      <c r="E2343" s="186">
        <v>8.25</v>
      </c>
      <c r="F2343" s="186">
        <v>8.2799999999999994</v>
      </c>
      <c r="G2343" s="186">
        <v>4.908682497</v>
      </c>
    </row>
    <row r="2344" spans="1:7" ht="14.4">
      <c r="A2344" s="186">
        <v>2343</v>
      </c>
      <c r="B2344" s="186" t="s">
        <v>288</v>
      </c>
      <c r="C2344" s="186" t="s">
        <v>2668</v>
      </c>
      <c r="D2344" s="186">
        <v>129.69999999999999</v>
      </c>
      <c r="E2344" s="186">
        <v>8.3000000000000007</v>
      </c>
      <c r="F2344" s="186">
        <v>8.2799999999999994</v>
      </c>
      <c r="G2344" s="186">
        <v>4.908682497</v>
      </c>
    </row>
    <row r="2345" spans="1:7" ht="14.4">
      <c r="A2345" s="186">
        <v>2344</v>
      </c>
      <c r="B2345" s="186" t="s">
        <v>2307</v>
      </c>
      <c r="C2345" s="186" t="s">
        <v>2669</v>
      </c>
      <c r="D2345" s="186">
        <v>1</v>
      </c>
      <c r="E2345" s="186">
        <v>8.52</v>
      </c>
      <c r="F2345" s="186">
        <v>8.2799999999999994</v>
      </c>
      <c r="G2345" s="186">
        <v>4.908682497</v>
      </c>
    </row>
    <row r="2346" spans="1:7" ht="14.4">
      <c r="A2346" s="186">
        <v>2345</v>
      </c>
      <c r="B2346" s="186" t="s">
        <v>1228</v>
      </c>
      <c r="C2346" s="186" t="s">
        <v>2670</v>
      </c>
      <c r="D2346" s="186">
        <v>410</v>
      </c>
      <c r="E2346" s="186">
        <v>8.43</v>
      </c>
      <c r="F2346" s="186">
        <v>8.2899999999999991</v>
      </c>
      <c r="G2346" s="186">
        <v>4.9177571020000004</v>
      </c>
    </row>
    <row r="2347" spans="1:7" ht="14.4">
      <c r="A2347" s="186">
        <v>2346</v>
      </c>
      <c r="B2347" s="186" t="s">
        <v>2260</v>
      </c>
      <c r="C2347" s="186" t="s">
        <v>2671</v>
      </c>
      <c r="D2347" s="186">
        <v>151.4</v>
      </c>
      <c r="E2347" s="186">
        <v>8.52</v>
      </c>
      <c r="F2347" s="186">
        <v>8.2899999999999991</v>
      </c>
      <c r="G2347" s="186">
        <v>4.9177571020000004</v>
      </c>
    </row>
    <row r="2348" spans="1:7" ht="14.4">
      <c r="A2348" s="186">
        <v>2347</v>
      </c>
      <c r="B2348" s="186" t="s">
        <v>184</v>
      </c>
      <c r="C2348" s="186" t="s">
        <v>2672</v>
      </c>
      <c r="D2348" s="187">
        <v>10195.9</v>
      </c>
      <c r="E2348" s="186">
        <v>8.6</v>
      </c>
      <c r="F2348" s="186">
        <v>8.2899999999999991</v>
      </c>
      <c r="G2348" s="186">
        <v>4.9177571020000004</v>
      </c>
    </row>
    <row r="2349" spans="1:7" ht="14.4">
      <c r="A2349" s="186">
        <v>2348</v>
      </c>
      <c r="B2349" s="186" t="s">
        <v>340</v>
      </c>
      <c r="C2349" s="186" t="s">
        <v>2673</v>
      </c>
      <c r="D2349" s="186">
        <v>234.9</v>
      </c>
      <c r="E2349" s="186">
        <v>8.65</v>
      </c>
      <c r="F2349" s="186">
        <v>8.2899999999999991</v>
      </c>
      <c r="G2349" s="186">
        <v>4.9177571020000004</v>
      </c>
    </row>
    <row r="2350" spans="1:7" ht="14.4">
      <c r="A2350" s="186">
        <v>2349</v>
      </c>
      <c r="B2350" s="186" t="s">
        <v>1215</v>
      </c>
      <c r="C2350" s="186" t="s">
        <v>2674</v>
      </c>
      <c r="D2350" s="186">
        <v>23.7</v>
      </c>
      <c r="E2350" s="186">
        <v>8.48</v>
      </c>
      <c r="F2350" s="186">
        <v>8.2899999999999991</v>
      </c>
      <c r="G2350" s="186">
        <v>4.9177571020000004</v>
      </c>
    </row>
    <row r="2351" spans="1:7" ht="14.4">
      <c r="A2351" s="186">
        <v>2350</v>
      </c>
      <c r="B2351" s="186" t="s">
        <v>483</v>
      </c>
      <c r="C2351" s="186" t="s">
        <v>2675</v>
      </c>
      <c r="D2351" s="187">
        <v>22417.7</v>
      </c>
      <c r="E2351" s="186">
        <v>8.7200000000000006</v>
      </c>
      <c r="F2351" s="186">
        <v>8.3000000000000007</v>
      </c>
      <c r="G2351" s="186">
        <v>4.9268476440000004</v>
      </c>
    </row>
    <row r="2352" spans="1:7" ht="14.4">
      <c r="A2352" s="186">
        <v>2351</v>
      </c>
      <c r="B2352" s="186" t="s">
        <v>335</v>
      </c>
      <c r="C2352" s="186" t="s">
        <v>2676</v>
      </c>
      <c r="D2352" s="187">
        <v>2674.2</v>
      </c>
      <c r="E2352" s="186">
        <v>8.09</v>
      </c>
      <c r="F2352" s="186">
        <v>8.3000000000000007</v>
      </c>
      <c r="G2352" s="186">
        <v>4.9268476440000004</v>
      </c>
    </row>
    <row r="2353" spans="1:7" ht="14.4">
      <c r="A2353" s="186">
        <v>2352</v>
      </c>
      <c r="B2353" s="186" t="s">
        <v>184</v>
      </c>
      <c r="C2353" s="186" t="s">
        <v>2677</v>
      </c>
      <c r="D2353" s="187">
        <v>2926.6</v>
      </c>
      <c r="E2353" s="186">
        <v>8.09</v>
      </c>
      <c r="F2353" s="186">
        <v>8.3000000000000007</v>
      </c>
      <c r="G2353" s="186">
        <v>4.9268476440000004</v>
      </c>
    </row>
    <row r="2354" spans="1:7" ht="14.4">
      <c r="A2354" s="186">
        <v>2353</v>
      </c>
      <c r="B2354" s="186" t="s">
        <v>454</v>
      </c>
      <c r="C2354" s="186" t="s">
        <v>2678</v>
      </c>
      <c r="D2354" s="187">
        <v>1524.2</v>
      </c>
      <c r="E2354" s="186">
        <v>8.65</v>
      </c>
      <c r="F2354" s="186">
        <v>8.31</v>
      </c>
      <c r="G2354" s="186">
        <v>4.9359541480000004</v>
      </c>
    </row>
    <row r="2355" spans="1:7" ht="14.4">
      <c r="A2355" s="186">
        <v>2354</v>
      </c>
      <c r="B2355" s="186" t="s">
        <v>210</v>
      </c>
      <c r="C2355" s="186" t="s">
        <v>2679</v>
      </c>
      <c r="D2355" s="186">
        <v>77.400000000000006</v>
      </c>
      <c r="E2355" s="186">
        <v>8.7200000000000006</v>
      </c>
      <c r="F2355" s="186">
        <v>8.31</v>
      </c>
      <c r="G2355" s="186">
        <v>4.9359541480000004</v>
      </c>
    </row>
    <row r="2356" spans="1:7" ht="14.4">
      <c r="A2356" s="186">
        <v>2355</v>
      </c>
      <c r="B2356" s="186" t="s">
        <v>319</v>
      </c>
      <c r="C2356" s="186" t="s">
        <v>2680</v>
      </c>
      <c r="D2356" s="187">
        <v>1036.5999999999999</v>
      </c>
      <c r="E2356" s="186">
        <v>8.33</v>
      </c>
      <c r="F2356" s="186">
        <v>8.31</v>
      </c>
      <c r="G2356" s="186">
        <v>4.9359541480000004</v>
      </c>
    </row>
    <row r="2357" spans="1:7" ht="14.4">
      <c r="A2357" s="186">
        <v>2356</v>
      </c>
      <c r="B2357" s="186" t="s">
        <v>138</v>
      </c>
      <c r="C2357" s="186" t="s">
        <v>2681</v>
      </c>
      <c r="D2357" s="186">
        <v>372.1</v>
      </c>
      <c r="E2357" s="186">
        <v>8.31</v>
      </c>
      <c r="F2357" s="186">
        <v>8.32</v>
      </c>
      <c r="G2357" s="186">
        <v>4.9450766399999999</v>
      </c>
    </row>
    <row r="2358" spans="1:7" ht="14.4">
      <c r="A2358" s="186">
        <v>2357</v>
      </c>
      <c r="B2358" s="186" t="s">
        <v>451</v>
      </c>
      <c r="C2358" s="186" t="s">
        <v>2682</v>
      </c>
      <c r="D2358" s="187">
        <v>1027</v>
      </c>
      <c r="E2358" s="186">
        <v>8.56</v>
      </c>
      <c r="F2358" s="186">
        <v>8.32</v>
      </c>
      <c r="G2358" s="186">
        <v>4.9450766399999999</v>
      </c>
    </row>
    <row r="2359" spans="1:7" ht="14.4">
      <c r="A2359" s="186">
        <v>2358</v>
      </c>
      <c r="B2359" s="186" t="s">
        <v>271</v>
      </c>
      <c r="C2359" s="186" t="s">
        <v>2683</v>
      </c>
      <c r="D2359" s="186">
        <v>25.1</v>
      </c>
      <c r="E2359" s="186">
        <v>8.6199999999999992</v>
      </c>
      <c r="F2359" s="186">
        <v>8.33</v>
      </c>
      <c r="G2359" s="186">
        <v>4.9542151490000004</v>
      </c>
    </row>
    <row r="2360" spans="1:7" ht="14.4">
      <c r="A2360" s="186">
        <v>2359</v>
      </c>
      <c r="B2360" s="186" t="s">
        <v>210</v>
      </c>
      <c r="C2360" s="186" t="s">
        <v>2684</v>
      </c>
      <c r="D2360" s="186">
        <v>307.8</v>
      </c>
      <c r="E2360" s="186">
        <v>8.52</v>
      </c>
      <c r="F2360" s="186">
        <v>8.33</v>
      </c>
      <c r="G2360" s="186">
        <v>4.9542151490000004</v>
      </c>
    </row>
    <row r="2361" spans="1:7" ht="14.4">
      <c r="A2361" s="186">
        <v>2360</v>
      </c>
      <c r="B2361" s="186" t="s">
        <v>146</v>
      </c>
      <c r="C2361" s="186" t="s">
        <v>2685</v>
      </c>
      <c r="D2361" s="186">
        <v>728.7</v>
      </c>
      <c r="E2361" s="186">
        <v>8.6300000000000008</v>
      </c>
      <c r="F2361" s="186">
        <v>8.34</v>
      </c>
      <c r="G2361" s="186">
        <v>4.9633696990000002</v>
      </c>
    </row>
    <row r="2362" spans="1:7" ht="14.4">
      <c r="A2362" s="186">
        <v>2361</v>
      </c>
      <c r="B2362" s="186" t="s">
        <v>210</v>
      </c>
      <c r="C2362" s="186" t="s">
        <v>2686</v>
      </c>
      <c r="D2362" s="186">
        <v>90.5</v>
      </c>
      <c r="E2362" s="186">
        <v>8.8800000000000008</v>
      </c>
      <c r="F2362" s="186">
        <v>8.34</v>
      </c>
      <c r="G2362" s="186">
        <v>4.9633696990000002</v>
      </c>
    </row>
    <row r="2363" spans="1:7" ht="14.4">
      <c r="A2363" s="186">
        <v>2362</v>
      </c>
      <c r="B2363" s="186" t="s">
        <v>138</v>
      </c>
      <c r="C2363" s="186" t="s">
        <v>2687</v>
      </c>
      <c r="D2363" s="186">
        <v>106.9</v>
      </c>
      <c r="E2363" s="186">
        <v>8.51</v>
      </c>
      <c r="F2363" s="186">
        <v>8.35</v>
      </c>
      <c r="G2363" s="186">
        <v>4.9725403180000001</v>
      </c>
    </row>
    <row r="2364" spans="1:7" ht="14.4">
      <c r="A2364" s="186">
        <v>2363</v>
      </c>
      <c r="B2364" s="186" t="s">
        <v>146</v>
      </c>
      <c r="C2364" s="186" t="s">
        <v>2688</v>
      </c>
      <c r="D2364" s="186">
        <v>29.4</v>
      </c>
      <c r="E2364" s="186">
        <v>8.74</v>
      </c>
      <c r="F2364" s="186">
        <v>8.35</v>
      </c>
      <c r="G2364" s="186">
        <v>4.9725403180000001</v>
      </c>
    </row>
    <row r="2365" spans="1:7" ht="14.4">
      <c r="A2365" s="186">
        <v>2364</v>
      </c>
      <c r="B2365" s="186" t="s">
        <v>146</v>
      </c>
      <c r="C2365" s="186" t="s">
        <v>2689</v>
      </c>
      <c r="D2365" s="186">
        <v>107.7</v>
      </c>
      <c r="E2365" s="186">
        <v>8.74</v>
      </c>
      <c r="F2365" s="186">
        <v>8.35</v>
      </c>
      <c r="G2365" s="186">
        <v>4.9725403180000001</v>
      </c>
    </row>
    <row r="2366" spans="1:7" ht="14.4">
      <c r="A2366" s="186">
        <v>2365</v>
      </c>
      <c r="B2366" s="186" t="s">
        <v>2443</v>
      </c>
      <c r="C2366" s="186" t="s">
        <v>2690</v>
      </c>
      <c r="D2366" s="187">
        <v>30308.7</v>
      </c>
      <c r="E2366" s="186">
        <v>8.15</v>
      </c>
      <c r="F2366" s="186">
        <v>8.35</v>
      </c>
      <c r="G2366" s="186">
        <v>4.9725403180000001</v>
      </c>
    </row>
    <row r="2367" spans="1:7" ht="14.4">
      <c r="A2367" s="186">
        <v>2366</v>
      </c>
      <c r="B2367" s="186" t="s">
        <v>834</v>
      </c>
      <c r="C2367" s="186" t="s">
        <v>2691</v>
      </c>
      <c r="D2367" s="186">
        <v>6.6</v>
      </c>
      <c r="E2367" s="186">
        <v>8.6300000000000008</v>
      </c>
      <c r="F2367" s="186">
        <v>8.35</v>
      </c>
      <c r="G2367" s="186">
        <v>4.9725403180000001</v>
      </c>
    </row>
    <row r="2368" spans="1:7" ht="14.4">
      <c r="A2368" s="186">
        <v>2367</v>
      </c>
      <c r="B2368" s="186" t="s">
        <v>834</v>
      </c>
      <c r="C2368" s="186" t="s">
        <v>2692</v>
      </c>
      <c r="D2368" s="186">
        <v>36.1</v>
      </c>
      <c r="E2368" s="186">
        <v>8.6300000000000008</v>
      </c>
      <c r="F2368" s="186">
        <v>8.35</v>
      </c>
      <c r="G2368" s="186">
        <v>4.9725403180000001</v>
      </c>
    </row>
    <row r="2369" spans="1:7" ht="14.4">
      <c r="A2369" s="186">
        <v>2368</v>
      </c>
      <c r="B2369" s="186" t="s">
        <v>1228</v>
      </c>
      <c r="C2369" s="186" t="s">
        <v>2693</v>
      </c>
      <c r="D2369" s="186">
        <v>40.5</v>
      </c>
      <c r="E2369" s="186">
        <v>8.51</v>
      </c>
      <c r="F2369" s="186">
        <v>8.36</v>
      </c>
      <c r="G2369" s="186">
        <v>4.9817270320000002</v>
      </c>
    </row>
    <row r="2370" spans="1:7" ht="14.4">
      <c r="A2370" s="186">
        <v>2369</v>
      </c>
      <c r="B2370" s="186" t="s">
        <v>1228</v>
      </c>
      <c r="C2370" s="186" t="s">
        <v>2694</v>
      </c>
      <c r="D2370" s="187">
        <v>11088</v>
      </c>
      <c r="E2370" s="186">
        <v>8.19</v>
      </c>
      <c r="F2370" s="186">
        <v>8.36</v>
      </c>
      <c r="G2370" s="186">
        <v>4.9817270320000002</v>
      </c>
    </row>
    <row r="2371" spans="1:7" ht="14.4">
      <c r="A2371" s="186">
        <v>2370</v>
      </c>
      <c r="B2371" s="186" t="s">
        <v>1228</v>
      </c>
      <c r="C2371" s="186" t="s">
        <v>2695</v>
      </c>
      <c r="D2371" s="186">
        <v>83.6</v>
      </c>
      <c r="E2371" s="186">
        <v>8.4499999999999993</v>
      </c>
      <c r="F2371" s="186">
        <v>8.36</v>
      </c>
      <c r="G2371" s="186">
        <v>4.9817270320000002</v>
      </c>
    </row>
    <row r="2372" spans="1:7" ht="14.4">
      <c r="A2372" s="186">
        <v>2371</v>
      </c>
      <c r="B2372" s="186" t="s">
        <v>178</v>
      </c>
      <c r="C2372" s="186" t="s">
        <v>2696</v>
      </c>
      <c r="D2372" s="186">
        <v>503.4</v>
      </c>
      <c r="E2372" s="186">
        <v>7.93</v>
      </c>
      <c r="F2372" s="186">
        <v>8.36</v>
      </c>
      <c r="G2372" s="186">
        <v>4.9817270320000002</v>
      </c>
    </row>
    <row r="2373" spans="1:7" ht="14.4">
      <c r="A2373" s="186">
        <v>2372</v>
      </c>
      <c r="B2373" s="186" t="s">
        <v>178</v>
      </c>
      <c r="C2373" s="186" t="s">
        <v>2697</v>
      </c>
      <c r="D2373" s="186">
        <v>17.3</v>
      </c>
      <c r="E2373" s="186">
        <v>8.57</v>
      </c>
      <c r="F2373" s="186">
        <v>8.36</v>
      </c>
      <c r="G2373" s="186">
        <v>4.9817270320000002</v>
      </c>
    </row>
    <row r="2374" spans="1:7" ht="14.4">
      <c r="A2374" s="186">
        <v>2373</v>
      </c>
      <c r="B2374" s="186" t="s">
        <v>175</v>
      </c>
      <c r="C2374" s="186" t="s">
        <v>2698</v>
      </c>
      <c r="D2374" s="186">
        <v>383.4</v>
      </c>
      <c r="E2374" s="186">
        <v>8.23</v>
      </c>
      <c r="F2374" s="186">
        <v>8.36</v>
      </c>
      <c r="G2374" s="186">
        <v>4.9817270320000002</v>
      </c>
    </row>
    <row r="2375" spans="1:7" ht="14.4">
      <c r="A2375" s="186">
        <v>2374</v>
      </c>
      <c r="B2375" s="186" t="s">
        <v>175</v>
      </c>
      <c r="C2375" s="186" t="s">
        <v>2699</v>
      </c>
      <c r="D2375" s="186">
        <v>194.2</v>
      </c>
      <c r="E2375" s="186">
        <v>8.36</v>
      </c>
      <c r="F2375" s="186">
        <v>8.36</v>
      </c>
      <c r="G2375" s="186">
        <v>4.9817270320000002</v>
      </c>
    </row>
    <row r="2376" spans="1:7" ht="14.4">
      <c r="A2376" s="186">
        <v>2375</v>
      </c>
      <c r="B2376" s="186" t="s">
        <v>365</v>
      </c>
      <c r="C2376" s="186" t="s">
        <v>2700</v>
      </c>
      <c r="D2376" s="186">
        <v>47.5</v>
      </c>
      <c r="E2376" s="186">
        <v>8.73</v>
      </c>
      <c r="F2376" s="186">
        <v>8.36</v>
      </c>
      <c r="G2376" s="186">
        <v>4.9817270320000002</v>
      </c>
    </row>
    <row r="2377" spans="1:7" ht="14.4">
      <c r="A2377" s="186">
        <v>2376</v>
      </c>
      <c r="B2377" s="186" t="s">
        <v>146</v>
      </c>
      <c r="C2377" s="186" t="s">
        <v>2701</v>
      </c>
      <c r="D2377" s="186">
        <v>765.6</v>
      </c>
      <c r="E2377" s="186">
        <v>8.65</v>
      </c>
      <c r="F2377" s="186">
        <v>8.36</v>
      </c>
      <c r="G2377" s="186">
        <v>4.9817270320000002</v>
      </c>
    </row>
    <row r="2378" spans="1:7" ht="14.4">
      <c r="A2378" s="186">
        <v>2377</v>
      </c>
      <c r="B2378" s="186" t="s">
        <v>187</v>
      </c>
      <c r="C2378" s="186" t="s">
        <v>2702</v>
      </c>
      <c r="D2378" s="187">
        <v>3122.9</v>
      </c>
      <c r="E2378" s="186">
        <v>8.52</v>
      </c>
      <c r="F2378" s="186">
        <v>8.36</v>
      </c>
      <c r="G2378" s="186">
        <v>4.9817270320000002</v>
      </c>
    </row>
    <row r="2379" spans="1:7" ht="14.4">
      <c r="A2379" s="186">
        <v>2378</v>
      </c>
      <c r="B2379" s="186" t="s">
        <v>1228</v>
      </c>
      <c r="C2379" s="186" t="s">
        <v>2703</v>
      </c>
      <c r="D2379" s="186">
        <v>227.1</v>
      </c>
      <c r="E2379" s="186">
        <v>8.52</v>
      </c>
      <c r="F2379" s="186">
        <v>8.3699999999999992</v>
      </c>
      <c r="G2379" s="186">
        <v>4.9909298690000004</v>
      </c>
    </row>
    <row r="2380" spans="1:7" ht="14.4">
      <c r="A2380" s="186">
        <v>2379</v>
      </c>
      <c r="B2380" s="186" t="s">
        <v>1228</v>
      </c>
      <c r="C2380" s="186" t="s">
        <v>2704</v>
      </c>
      <c r="D2380" s="187">
        <v>1733.5</v>
      </c>
      <c r="E2380" s="186">
        <v>8.4600000000000009</v>
      </c>
      <c r="F2380" s="186">
        <v>8.3699999999999992</v>
      </c>
      <c r="G2380" s="186">
        <v>4.9909298690000004</v>
      </c>
    </row>
    <row r="2381" spans="1:7" ht="14.4">
      <c r="A2381" s="186">
        <v>2380</v>
      </c>
      <c r="B2381" s="186" t="s">
        <v>271</v>
      </c>
      <c r="C2381" s="186" t="s">
        <v>2705</v>
      </c>
      <c r="D2381" s="186">
        <v>489.8</v>
      </c>
      <c r="E2381" s="186">
        <v>8.4700000000000006</v>
      </c>
      <c r="F2381" s="186">
        <v>8.3699999999999992</v>
      </c>
      <c r="G2381" s="186">
        <v>4.9909298690000004</v>
      </c>
    </row>
    <row r="2382" spans="1:7" ht="14.4">
      <c r="A2382" s="186">
        <v>2381</v>
      </c>
      <c r="B2382" s="186" t="s">
        <v>178</v>
      </c>
      <c r="C2382" s="186" t="s">
        <v>2706</v>
      </c>
      <c r="D2382" s="186">
        <v>0.1</v>
      </c>
      <c r="E2382" s="186">
        <v>8.4700000000000006</v>
      </c>
      <c r="F2382" s="186">
        <v>8.3699999999999992</v>
      </c>
      <c r="G2382" s="186">
        <v>4.9909298690000004</v>
      </c>
    </row>
    <row r="2383" spans="1:7" ht="14.4">
      <c r="A2383" s="186">
        <v>2382</v>
      </c>
      <c r="B2383" s="186" t="s">
        <v>483</v>
      </c>
      <c r="C2383" s="186" t="s">
        <v>2707</v>
      </c>
      <c r="D2383" s="186">
        <v>170.2</v>
      </c>
      <c r="E2383" s="186">
        <v>8.8000000000000007</v>
      </c>
      <c r="F2383" s="186">
        <v>8.3699999999999992</v>
      </c>
      <c r="G2383" s="186">
        <v>4.9909298690000004</v>
      </c>
    </row>
    <row r="2384" spans="1:7" ht="14.4">
      <c r="A2384" s="186">
        <v>2383</v>
      </c>
      <c r="B2384" s="186" t="s">
        <v>252</v>
      </c>
      <c r="C2384" s="186" t="s">
        <v>2708</v>
      </c>
      <c r="D2384" s="186">
        <v>2.7</v>
      </c>
      <c r="E2384" s="186">
        <v>8.36</v>
      </c>
      <c r="F2384" s="186">
        <v>8.3699999999999992</v>
      </c>
      <c r="G2384" s="186">
        <v>4.9909298690000004</v>
      </c>
    </row>
    <row r="2385" spans="1:7" ht="14.4">
      <c r="A2385" s="186">
        <v>2384</v>
      </c>
      <c r="B2385" s="186" t="s">
        <v>252</v>
      </c>
      <c r="C2385" s="186" t="s">
        <v>2709</v>
      </c>
      <c r="D2385" s="186">
        <v>28.8</v>
      </c>
      <c r="E2385" s="186">
        <v>8.36</v>
      </c>
      <c r="F2385" s="186">
        <v>8.3699999999999992</v>
      </c>
      <c r="G2385" s="186">
        <v>4.9909298690000004</v>
      </c>
    </row>
    <row r="2386" spans="1:7" ht="14.4">
      <c r="A2386" s="186">
        <v>2385</v>
      </c>
      <c r="B2386" s="186" t="s">
        <v>153</v>
      </c>
      <c r="C2386" s="186" t="s">
        <v>2710</v>
      </c>
      <c r="D2386" s="187">
        <v>1024</v>
      </c>
      <c r="E2386" s="186">
        <v>8.6</v>
      </c>
      <c r="F2386" s="186">
        <v>8.3699999999999992</v>
      </c>
      <c r="G2386" s="186">
        <v>4.9909298690000004</v>
      </c>
    </row>
    <row r="2387" spans="1:7" ht="14.4">
      <c r="A2387" s="186">
        <v>2386</v>
      </c>
      <c r="B2387" s="186" t="s">
        <v>2269</v>
      </c>
      <c r="C2387" s="186" t="s">
        <v>2711</v>
      </c>
      <c r="D2387" s="186">
        <v>64.7</v>
      </c>
      <c r="E2387" s="186">
        <v>8.7100000000000009</v>
      </c>
      <c r="F2387" s="186">
        <v>8.3699999999999992</v>
      </c>
      <c r="G2387" s="186">
        <v>4.9909298690000004</v>
      </c>
    </row>
    <row r="2388" spans="1:7" ht="14.4">
      <c r="A2388" s="186">
        <v>2387</v>
      </c>
      <c r="B2388" s="186" t="s">
        <v>1228</v>
      </c>
      <c r="C2388" s="186" t="s">
        <v>2712</v>
      </c>
      <c r="D2388" s="186">
        <v>75.099999999999994</v>
      </c>
      <c r="E2388" s="186">
        <v>8.66</v>
      </c>
      <c r="F2388" s="186">
        <v>8.3800000000000008</v>
      </c>
      <c r="G2388" s="186">
        <v>5.0001488549999999</v>
      </c>
    </row>
    <row r="2389" spans="1:7" ht="14.4">
      <c r="A2389" s="186">
        <v>2388</v>
      </c>
      <c r="B2389" s="186" t="s">
        <v>1228</v>
      </c>
      <c r="C2389" s="186" t="s">
        <v>2713</v>
      </c>
      <c r="D2389" s="186">
        <v>0.1</v>
      </c>
      <c r="E2389" s="186">
        <v>8.52</v>
      </c>
      <c r="F2389" s="186">
        <v>8.3800000000000008</v>
      </c>
      <c r="G2389" s="186">
        <v>5.0001488549999999</v>
      </c>
    </row>
    <row r="2390" spans="1:7" ht="14.4">
      <c r="A2390" s="186">
        <v>2389</v>
      </c>
      <c r="B2390" s="186" t="s">
        <v>2610</v>
      </c>
      <c r="C2390" s="186" t="s">
        <v>2714</v>
      </c>
      <c r="D2390" s="186">
        <v>172.4</v>
      </c>
      <c r="E2390" s="186">
        <v>8.6</v>
      </c>
      <c r="F2390" s="186">
        <v>8.3800000000000008</v>
      </c>
      <c r="G2390" s="186">
        <v>5.0001488549999999</v>
      </c>
    </row>
    <row r="2391" spans="1:7" ht="14.4">
      <c r="A2391" s="186">
        <v>2390</v>
      </c>
      <c r="B2391" s="186" t="s">
        <v>175</v>
      </c>
      <c r="C2391" s="186" t="s">
        <v>2715</v>
      </c>
      <c r="D2391" s="186">
        <v>140.9</v>
      </c>
      <c r="E2391" s="186">
        <v>8.6999999999999993</v>
      </c>
      <c r="F2391" s="186">
        <v>8.3800000000000008</v>
      </c>
      <c r="G2391" s="186">
        <v>5.0001488549999999</v>
      </c>
    </row>
    <row r="2392" spans="1:7" ht="14.4">
      <c r="A2392" s="186">
        <v>2391</v>
      </c>
      <c r="B2392" s="186" t="s">
        <v>2662</v>
      </c>
      <c r="C2392" s="186" t="s">
        <v>2716</v>
      </c>
      <c r="D2392" s="186">
        <v>70.5</v>
      </c>
      <c r="E2392" s="186">
        <v>8.64</v>
      </c>
      <c r="F2392" s="186">
        <v>8.3800000000000008</v>
      </c>
      <c r="G2392" s="186">
        <v>5.0001488549999999</v>
      </c>
    </row>
    <row r="2393" spans="1:7" ht="14.4">
      <c r="A2393" s="186">
        <v>2392</v>
      </c>
      <c r="B2393" s="186" t="s">
        <v>307</v>
      </c>
      <c r="C2393" s="186" t="s">
        <v>2717</v>
      </c>
      <c r="D2393" s="186">
        <v>636.70000000000005</v>
      </c>
      <c r="E2393" s="186">
        <v>8.35</v>
      </c>
      <c r="F2393" s="186">
        <v>8.3800000000000008</v>
      </c>
      <c r="G2393" s="186">
        <v>5.0001488549999999</v>
      </c>
    </row>
    <row r="2394" spans="1:7" ht="14.4">
      <c r="A2394" s="186">
        <v>2393</v>
      </c>
      <c r="B2394" s="186" t="s">
        <v>1228</v>
      </c>
      <c r="C2394" s="186" t="s">
        <v>2718</v>
      </c>
      <c r="D2394" s="187">
        <v>1268.5</v>
      </c>
      <c r="E2394" s="186">
        <v>8.67</v>
      </c>
      <c r="F2394" s="186">
        <v>8.39</v>
      </c>
      <c r="G2394" s="186">
        <v>5.0093840170000004</v>
      </c>
    </row>
    <row r="2395" spans="1:7" ht="14.4">
      <c r="A2395" s="186">
        <v>2394</v>
      </c>
      <c r="B2395" s="186" t="s">
        <v>1228</v>
      </c>
      <c r="C2395" s="186" t="s">
        <v>2719</v>
      </c>
      <c r="D2395" s="186">
        <v>133.5</v>
      </c>
      <c r="E2395" s="186">
        <v>8.5</v>
      </c>
      <c r="F2395" s="186">
        <v>8.39</v>
      </c>
      <c r="G2395" s="186">
        <v>5.0093840170000004</v>
      </c>
    </row>
    <row r="2396" spans="1:7" ht="14.4">
      <c r="A2396" s="186">
        <v>2395</v>
      </c>
      <c r="B2396" s="186" t="s">
        <v>1228</v>
      </c>
      <c r="C2396" s="186" t="s">
        <v>2720</v>
      </c>
      <c r="D2396" s="187">
        <v>2256.8000000000002</v>
      </c>
      <c r="E2396" s="186">
        <v>8.35</v>
      </c>
      <c r="F2396" s="186">
        <v>8.39</v>
      </c>
      <c r="G2396" s="186">
        <v>5.0093840170000004</v>
      </c>
    </row>
    <row r="2397" spans="1:7" ht="14.4">
      <c r="A2397" s="186">
        <v>2396</v>
      </c>
      <c r="B2397" s="186" t="s">
        <v>153</v>
      </c>
      <c r="C2397" s="186" t="s">
        <v>2721</v>
      </c>
      <c r="D2397" s="187">
        <v>7368.5</v>
      </c>
      <c r="E2397" s="186">
        <v>8.6199999999999992</v>
      </c>
      <c r="F2397" s="186">
        <v>8.39</v>
      </c>
      <c r="G2397" s="186">
        <v>5.0093840170000004</v>
      </c>
    </row>
    <row r="2398" spans="1:7" ht="14.4">
      <c r="A2398" s="186">
        <v>2397</v>
      </c>
      <c r="B2398" s="186" t="s">
        <v>197</v>
      </c>
      <c r="C2398" s="186" t="s">
        <v>2722</v>
      </c>
      <c r="D2398" s="186">
        <v>25.2</v>
      </c>
      <c r="E2398" s="186">
        <v>8.51</v>
      </c>
      <c r="F2398" s="186">
        <v>8.39</v>
      </c>
      <c r="G2398" s="186">
        <v>5.0093840170000004</v>
      </c>
    </row>
    <row r="2399" spans="1:7" ht="14.4">
      <c r="A2399" s="186">
        <v>2398</v>
      </c>
      <c r="B2399" s="186" t="s">
        <v>146</v>
      </c>
      <c r="C2399" s="186" t="s">
        <v>2723</v>
      </c>
      <c r="D2399" s="187">
        <v>3419.9</v>
      </c>
      <c r="E2399" s="186">
        <v>8.69</v>
      </c>
      <c r="F2399" s="186">
        <v>8.39</v>
      </c>
      <c r="G2399" s="186">
        <v>5.0093840170000004</v>
      </c>
    </row>
    <row r="2400" spans="1:7" ht="14.4">
      <c r="A2400" s="186">
        <v>2399</v>
      </c>
      <c r="B2400" s="186" t="s">
        <v>373</v>
      </c>
      <c r="C2400" s="186" t="s">
        <v>2724</v>
      </c>
      <c r="D2400" s="186">
        <v>0.1</v>
      </c>
      <c r="E2400" s="186">
        <v>8.5</v>
      </c>
      <c r="F2400" s="186">
        <v>8.39</v>
      </c>
      <c r="G2400" s="186">
        <v>5.0093840170000004</v>
      </c>
    </row>
    <row r="2401" spans="1:7" ht="14.4">
      <c r="A2401" s="186">
        <v>2400</v>
      </c>
      <c r="B2401" s="186" t="s">
        <v>210</v>
      </c>
      <c r="C2401" s="186" t="s">
        <v>2725</v>
      </c>
      <c r="D2401" s="186">
        <v>546.20000000000005</v>
      </c>
      <c r="E2401" s="186">
        <v>8.44</v>
      </c>
      <c r="F2401" s="186">
        <v>8.39</v>
      </c>
      <c r="G2401" s="186">
        <v>5.0093840170000004</v>
      </c>
    </row>
    <row r="2402" spans="1:7" ht="14.4">
      <c r="A2402" s="186">
        <v>2401</v>
      </c>
      <c r="B2402" s="186" t="s">
        <v>335</v>
      </c>
      <c r="C2402" s="186" t="s">
        <v>2726</v>
      </c>
      <c r="D2402" s="186">
        <v>404.3</v>
      </c>
      <c r="E2402" s="186">
        <v>8.5</v>
      </c>
      <c r="F2402" s="186">
        <v>8.39</v>
      </c>
      <c r="G2402" s="186">
        <v>5.0093840170000004</v>
      </c>
    </row>
    <row r="2403" spans="1:7" ht="14.4">
      <c r="A2403" s="186">
        <v>2402</v>
      </c>
      <c r="B2403" s="186" t="s">
        <v>184</v>
      </c>
      <c r="C2403" s="186" t="s">
        <v>2727</v>
      </c>
      <c r="D2403" s="187">
        <v>11595.9</v>
      </c>
      <c r="E2403" s="186" t="s">
        <v>152</v>
      </c>
      <c r="F2403" s="186">
        <v>8.39</v>
      </c>
      <c r="G2403" s="186">
        <v>5.0093840170000004</v>
      </c>
    </row>
    <row r="2404" spans="1:7" ht="14.4">
      <c r="A2404" s="186">
        <v>2403</v>
      </c>
      <c r="B2404" s="186" t="s">
        <v>138</v>
      </c>
      <c r="C2404" s="186" t="s">
        <v>2728</v>
      </c>
      <c r="D2404" s="186">
        <v>12.5</v>
      </c>
      <c r="E2404" s="186">
        <v>8.58</v>
      </c>
      <c r="F2404" s="186">
        <v>8.4</v>
      </c>
      <c r="G2404" s="186">
        <v>5.0186353810000002</v>
      </c>
    </row>
    <row r="2405" spans="1:7" ht="14.4">
      <c r="A2405" s="186">
        <v>2404</v>
      </c>
      <c r="B2405" s="186" t="s">
        <v>1228</v>
      </c>
      <c r="C2405" s="186" t="s">
        <v>2729</v>
      </c>
      <c r="D2405" s="187">
        <v>2092.1</v>
      </c>
      <c r="E2405" s="186">
        <v>8.5</v>
      </c>
      <c r="F2405" s="186">
        <v>8.4</v>
      </c>
      <c r="G2405" s="186">
        <v>5.0186353810000002</v>
      </c>
    </row>
    <row r="2406" spans="1:7" ht="14.4">
      <c r="A2406" s="186">
        <v>2405</v>
      </c>
      <c r="B2406" s="186" t="s">
        <v>365</v>
      </c>
      <c r="C2406" s="186" t="s">
        <v>2730</v>
      </c>
      <c r="D2406" s="186">
        <v>9.8000000000000007</v>
      </c>
      <c r="E2406" s="186">
        <v>8.8000000000000007</v>
      </c>
      <c r="F2406" s="186">
        <v>8.4</v>
      </c>
      <c r="G2406" s="186">
        <v>5.0186353810000002</v>
      </c>
    </row>
    <row r="2407" spans="1:7" ht="14.4">
      <c r="A2407" s="186">
        <v>2406</v>
      </c>
      <c r="B2407" s="186" t="s">
        <v>373</v>
      </c>
      <c r="C2407" s="186" t="s">
        <v>2731</v>
      </c>
      <c r="D2407" s="186">
        <v>5.9</v>
      </c>
      <c r="E2407" s="186">
        <v>8.51</v>
      </c>
      <c r="F2407" s="186">
        <v>8.4</v>
      </c>
      <c r="G2407" s="186">
        <v>5.0186353810000002</v>
      </c>
    </row>
    <row r="2408" spans="1:7" ht="14.4">
      <c r="A2408" s="186">
        <v>2407</v>
      </c>
      <c r="B2408" s="186" t="s">
        <v>288</v>
      </c>
      <c r="C2408" s="186" t="s">
        <v>2732</v>
      </c>
      <c r="D2408" s="186">
        <v>0.9</v>
      </c>
      <c r="E2408" s="186">
        <v>8.4700000000000006</v>
      </c>
      <c r="F2408" s="186">
        <v>8.4</v>
      </c>
      <c r="G2408" s="186">
        <v>5.0186353810000002</v>
      </c>
    </row>
    <row r="2409" spans="1:7" ht="14.4">
      <c r="A2409" s="186">
        <v>2408</v>
      </c>
      <c r="B2409" s="186" t="s">
        <v>801</v>
      </c>
      <c r="C2409" s="186" t="s">
        <v>2733</v>
      </c>
      <c r="D2409" s="186">
        <v>69.099999999999994</v>
      </c>
      <c r="E2409" s="186">
        <v>8.33</v>
      </c>
      <c r="F2409" s="186">
        <v>8.4</v>
      </c>
      <c r="G2409" s="186">
        <v>5.0186353810000002</v>
      </c>
    </row>
    <row r="2410" spans="1:7" ht="14.4">
      <c r="A2410" s="186">
        <v>2409</v>
      </c>
      <c r="B2410" s="186" t="s">
        <v>319</v>
      </c>
      <c r="C2410" s="186" t="s">
        <v>2734</v>
      </c>
      <c r="D2410" s="186">
        <v>88.6</v>
      </c>
      <c r="E2410" s="186">
        <v>8.42</v>
      </c>
      <c r="F2410" s="186">
        <v>8.4</v>
      </c>
      <c r="G2410" s="186">
        <v>5.0186353810000002</v>
      </c>
    </row>
    <row r="2411" spans="1:7" ht="14.4">
      <c r="A2411" s="186">
        <v>2410</v>
      </c>
      <c r="B2411" s="186" t="s">
        <v>1228</v>
      </c>
      <c r="C2411" s="186" t="s">
        <v>2735</v>
      </c>
      <c r="D2411" s="187">
        <v>2453.1999999999998</v>
      </c>
      <c r="E2411" s="186">
        <v>8.69</v>
      </c>
      <c r="F2411" s="186">
        <v>8.41</v>
      </c>
      <c r="G2411" s="186">
        <v>5.0279029749999999</v>
      </c>
    </row>
    <row r="2412" spans="1:7" ht="14.4">
      <c r="A2412" s="186">
        <v>2411</v>
      </c>
      <c r="B2412" s="186" t="s">
        <v>263</v>
      </c>
      <c r="C2412" s="186" t="s">
        <v>2736</v>
      </c>
      <c r="D2412" s="187">
        <v>2317</v>
      </c>
      <c r="E2412" s="186">
        <v>8.33</v>
      </c>
      <c r="F2412" s="186">
        <v>8.41</v>
      </c>
      <c r="G2412" s="186">
        <v>5.0279029749999999</v>
      </c>
    </row>
    <row r="2413" spans="1:7" ht="14.4">
      <c r="A2413" s="186">
        <v>2412</v>
      </c>
      <c r="B2413" s="186" t="s">
        <v>263</v>
      </c>
      <c r="C2413" s="186" t="s">
        <v>2737</v>
      </c>
      <c r="D2413" s="186">
        <v>195.6</v>
      </c>
      <c r="E2413" s="186">
        <v>8.56</v>
      </c>
      <c r="F2413" s="186">
        <v>8.41</v>
      </c>
      <c r="G2413" s="186">
        <v>5.0279029749999999</v>
      </c>
    </row>
    <row r="2414" spans="1:7" ht="14.4">
      <c r="A2414" s="186">
        <v>2413</v>
      </c>
      <c r="B2414" s="186" t="s">
        <v>2662</v>
      </c>
      <c r="C2414" s="186" t="s">
        <v>2738</v>
      </c>
      <c r="D2414" s="186">
        <v>64.900000000000006</v>
      </c>
      <c r="E2414" s="186">
        <v>8.65</v>
      </c>
      <c r="F2414" s="186">
        <v>8.41</v>
      </c>
      <c r="G2414" s="186">
        <v>5.0279029749999999</v>
      </c>
    </row>
    <row r="2415" spans="1:7" ht="14.4">
      <c r="A2415" s="186">
        <v>2414</v>
      </c>
      <c r="B2415" s="186" t="s">
        <v>146</v>
      </c>
      <c r="C2415" s="186" t="s">
        <v>2739</v>
      </c>
      <c r="D2415" s="186">
        <v>2.7</v>
      </c>
      <c r="E2415" s="186">
        <v>8.4499999999999993</v>
      </c>
      <c r="F2415" s="186">
        <v>8.41</v>
      </c>
      <c r="G2415" s="186">
        <v>5.0279029749999999</v>
      </c>
    </row>
    <row r="2416" spans="1:7" ht="14.4">
      <c r="A2416" s="186">
        <v>2415</v>
      </c>
      <c r="B2416" s="186" t="s">
        <v>553</v>
      </c>
      <c r="C2416" s="186" t="s">
        <v>2740</v>
      </c>
      <c r="D2416" s="187">
        <v>3083.1</v>
      </c>
      <c r="E2416" s="186">
        <v>8.7899999999999991</v>
      </c>
      <c r="F2416" s="186">
        <v>8.41</v>
      </c>
      <c r="G2416" s="186">
        <v>5.0279029749999999</v>
      </c>
    </row>
    <row r="2417" spans="1:7" ht="14.4">
      <c r="A2417" s="186">
        <v>2416</v>
      </c>
      <c r="B2417" s="186" t="s">
        <v>148</v>
      </c>
      <c r="C2417" s="186" t="s">
        <v>2741</v>
      </c>
      <c r="D2417" s="186">
        <v>5.6</v>
      </c>
      <c r="E2417" s="186">
        <v>8.82</v>
      </c>
      <c r="F2417" s="186">
        <v>8.41</v>
      </c>
      <c r="G2417" s="186">
        <v>5.0279029749999999</v>
      </c>
    </row>
    <row r="2418" spans="1:7" ht="14.4">
      <c r="A2418" s="186">
        <v>2417</v>
      </c>
      <c r="B2418" s="186" t="s">
        <v>271</v>
      </c>
      <c r="C2418" s="186" t="s">
        <v>2742</v>
      </c>
      <c r="D2418" s="186">
        <v>35.1</v>
      </c>
      <c r="E2418" s="186">
        <v>8.68</v>
      </c>
      <c r="F2418" s="186">
        <v>8.42</v>
      </c>
      <c r="G2418" s="186">
        <v>5.0371868260000001</v>
      </c>
    </row>
    <row r="2419" spans="1:7" ht="14.4">
      <c r="A2419" s="186">
        <v>2418</v>
      </c>
      <c r="B2419" s="186" t="s">
        <v>415</v>
      </c>
      <c r="C2419" s="186" t="s">
        <v>2743</v>
      </c>
      <c r="D2419" s="186">
        <v>390.7</v>
      </c>
      <c r="E2419" s="186">
        <v>8.32</v>
      </c>
      <c r="F2419" s="186">
        <v>8.42</v>
      </c>
      <c r="G2419" s="186">
        <v>5.0371868260000001</v>
      </c>
    </row>
    <row r="2420" spans="1:7" ht="14.4">
      <c r="A2420" s="186">
        <v>2419</v>
      </c>
      <c r="B2420" s="186" t="s">
        <v>801</v>
      </c>
      <c r="C2420" s="186" t="s">
        <v>2744</v>
      </c>
      <c r="D2420" s="186">
        <v>312.8</v>
      </c>
      <c r="E2420" s="186">
        <v>8.39</v>
      </c>
      <c r="F2420" s="186">
        <v>8.42</v>
      </c>
      <c r="G2420" s="186">
        <v>5.0371868260000001</v>
      </c>
    </row>
    <row r="2421" spans="1:7" ht="14.4">
      <c r="A2421" s="186">
        <v>2420</v>
      </c>
      <c r="B2421" s="186" t="s">
        <v>213</v>
      </c>
      <c r="C2421" s="186" t="s">
        <v>2745</v>
      </c>
      <c r="D2421" s="186">
        <v>55.1</v>
      </c>
      <c r="E2421" s="186">
        <v>8.32</v>
      </c>
      <c r="F2421" s="186">
        <v>8.42</v>
      </c>
      <c r="G2421" s="186">
        <v>5.0371868260000001</v>
      </c>
    </row>
    <row r="2422" spans="1:7" ht="14.4">
      <c r="A2422" s="186">
        <v>2421</v>
      </c>
      <c r="B2422" s="186" t="s">
        <v>1228</v>
      </c>
      <c r="C2422" s="186" t="s">
        <v>2746</v>
      </c>
      <c r="D2422" s="187">
        <v>2789.3</v>
      </c>
      <c r="E2422" s="186">
        <v>8.7100000000000009</v>
      </c>
      <c r="F2422" s="186">
        <v>8.43</v>
      </c>
      <c r="G2422" s="186">
        <v>5.0464869610000003</v>
      </c>
    </row>
    <row r="2423" spans="1:7" ht="14.4">
      <c r="A2423" s="186">
        <v>2422</v>
      </c>
      <c r="B2423" s="186" t="s">
        <v>178</v>
      </c>
      <c r="C2423" s="186" t="s">
        <v>2747</v>
      </c>
      <c r="D2423" s="186">
        <v>56.8</v>
      </c>
      <c r="E2423" s="186">
        <v>8.4700000000000006</v>
      </c>
      <c r="F2423" s="186">
        <v>8.43</v>
      </c>
      <c r="G2423" s="186">
        <v>5.0464869610000003</v>
      </c>
    </row>
    <row r="2424" spans="1:7" ht="14.4">
      <c r="A2424" s="186">
        <v>2423</v>
      </c>
      <c r="B2424" s="186" t="s">
        <v>178</v>
      </c>
      <c r="C2424" s="186" t="s">
        <v>2748</v>
      </c>
      <c r="D2424" s="186">
        <v>3.7</v>
      </c>
      <c r="E2424" s="186">
        <v>8.6300000000000008</v>
      </c>
      <c r="F2424" s="186">
        <v>8.43</v>
      </c>
      <c r="G2424" s="186">
        <v>5.0464869610000003</v>
      </c>
    </row>
    <row r="2425" spans="1:7" ht="14.4">
      <c r="A2425" s="186">
        <v>2424</v>
      </c>
      <c r="B2425" s="186" t="s">
        <v>834</v>
      </c>
      <c r="C2425" s="186" t="s">
        <v>2749</v>
      </c>
      <c r="D2425" s="186">
        <v>17.3</v>
      </c>
      <c r="E2425" s="186">
        <v>8.68</v>
      </c>
      <c r="F2425" s="186">
        <v>8.43</v>
      </c>
      <c r="G2425" s="186">
        <v>5.0464869610000003</v>
      </c>
    </row>
    <row r="2426" spans="1:7" ht="14.4">
      <c r="A2426" s="186">
        <v>2425</v>
      </c>
      <c r="B2426" s="186" t="s">
        <v>271</v>
      </c>
      <c r="C2426" s="186" t="s">
        <v>2750</v>
      </c>
      <c r="D2426" s="187">
        <v>12317.3</v>
      </c>
      <c r="E2426" s="186">
        <v>8.68</v>
      </c>
      <c r="F2426" s="186">
        <v>8.44</v>
      </c>
      <c r="G2426" s="186">
        <v>5.0558034059999999</v>
      </c>
    </row>
    <row r="2427" spans="1:7" ht="14.4">
      <c r="A2427" s="186">
        <v>2426</v>
      </c>
      <c r="B2427" s="186" t="s">
        <v>178</v>
      </c>
      <c r="C2427" s="186" t="s">
        <v>2751</v>
      </c>
      <c r="D2427" s="186">
        <v>0.1</v>
      </c>
      <c r="E2427" s="186">
        <v>8.7200000000000006</v>
      </c>
      <c r="F2427" s="186">
        <v>8.44</v>
      </c>
      <c r="G2427" s="186">
        <v>5.0558034059999999</v>
      </c>
    </row>
    <row r="2428" spans="1:7" ht="14.4">
      <c r="A2428" s="186">
        <v>2427</v>
      </c>
      <c r="B2428" s="186" t="s">
        <v>178</v>
      </c>
      <c r="C2428" s="186" t="s">
        <v>2752</v>
      </c>
      <c r="D2428" s="186">
        <v>12.4</v>
      </c>
      <c r="E2428" s="186">
        <v>8.7200000000000006</v>
      </c>
      <c r="F2428" s="186">
        <v>8.44</v>
      </c>
      <c r="G2428" s="186">
        <v>5.0558034059999999</v>
      </c>
    </row>
    <row r="2429" spans="1:7" ht="14.4">
      <c r="A2429" s="186">
        <v>2428</v>
      </c>
      <c r="B2429" s="186" t="s">
        <v>483</v>
      </c>
      <c r="C2429" s="186" t="s">
        <v>2753</v>
      </c>
      <c r="D2429" s="187">
        <v>3545.3</v>
      </c>
      <c r="E2429" s="186">
        <v>8.8699999999999992</v>
      </c>
      <c r="F2429" s="186">
        <v>8.44</v>
      </c>
      <c r="G2429" s="186">
        <v>5.0558034059999999</v>
      </c>
    </row>
    <row r="2430" spans="1:7" ht="14.4">
      <c r="A2430" s="186">
        <v>2429</v>
      </c>
      <c r="B2430" s="186" t="s">
        <v>252</v>
      </c>
      <c r="C2430" s="186" t="s">
        <v>2754</v>
      </c>
      <c r="D2430" s="186">
        <v>25.9</v>
      </c>
      <c r="E2430" s="186">
        <v>8.35</v>
      </c>
      <c r="F2430" s="186">
        <v>8.44</v>
      </c>
      <c r="G2430" s="186">
        <v>5.0558034059999999</v>
      </c>
    </row>
    <row r="2431" spans="1:7" ht="14.4">
      <c r="A2431" s="186">
        <v>2430</v>
      </c>
      <c r="B2431" s="186" t="s">
        <v>175</v>
      </c>
      <c r="C2431" s="186" t="s">
        <v>2755</v>
      </c>
      <c r="D2431" s="186">
        <v>203.9</v>
      </c>
      <c r="E2431" s="186">
        <v>8.2100000000000009</v>
      </c>
      <c r="F2431" s="186">
        <v>8.44</v>
      </c>
      <c r="G2431" s="186">
        <v>5.0558034059999999</v>
      </c>
    </row>
    <row r="2432" spans="1:7" ht="14.4">
      <c r="A2432" s="186">
        <v>2431</v>
      </c>
      <c r="B2432" s="186" t="s">
        <v>365</v>
      </c>
      <c r="C2432" s="186" t="s">
        <v>2756</v>
      </c>
      <c r="D2432" s="186">
        <v>36.6</v>
      </c>
      <c r="E2432" s="186">
        <v>8.68</v>
      </c>
      <c r="F2432" s="186">
        <v>8.44</v>
      </c>
      <c r="G2432" s="186">
        <v>5.0558034059999999</v>
      </c>
    </row>
    <row r="2433" spans="1:7" ht="14.4">
      <c r="A2433" s="186">
        <v>2432</v>
      </c>
      <c r="B2433" s="186" t="s">
        <v>801</v>
      </c>
      <c r="C2433" s="186" t="s">
        <v>2757</v>
      </c>
      <c r="D2433" s="186">
        <v>423.6</v>
      </c>
      <c r="E2433" s="186">
        <v>8.6</v>
      </c>
      <c r="F2433" s="186">
        <v>8.44</v>
      </c>
      <c r="G2433" s="186">
        <v>5.0558034059999999</v>
      </c>
    </row>
    <row r="2434" spans="1:7" ht="14.4">
      <c r="A2434" s="186">
        <v>2433</v>
      </c>
      <c r="B2434" s="186" t="s">
        <v>834</v>
      </c>
      <c r="C2434" s="186" t="s">
        <v>2758</v>
      </c>
      <c r="D2434" s="186">
        <v>128.6</v>
      </c>
      <c r="E2434" s="186">
        <v>8.68</v>
      </c>
      <c r="F2434" s="186">
        <v>8.44</v>
      </c>
      <c r="G2434" s="186">
        <v>5.0558034059999999</v>
      </c>
    </row>
    <row r="2435" spans="1:7" ht="14.4">
      <c r="A2435" s="186">
        <v>2434</v>
      </c>
      <c r="B2435" s="186" t="s">
        <v>197</v>
      </c>
      <c r="C2435" s="186" t="s">
        <v>2759</v>
      </c>
      <c r="D2435" s="186">
        <v>66.7</v>
      </c>
      <c r="E2435" s="186">
        <v>9.11</v>
      </c>
      <c r="F2435" s="186">
        <v>8.4499999999999993</v>
      </c>
      <c r="G2435" s="186">
        <v>5.0651361899999996</v>
      </c>
    </row>
    <row r="2436" spans="1:7" ht="14.4">
      <c r="A2436" s="186">
        <v>2435</v>
      </c>
      <c r="B2436" s="186" t="s">
        <v>553</v>
      </c>
      <c r="C2436" s="186" t="s">
        <v>2760</v>
      </c>
      <c r="D2436" s="187">
        <v>8967.1</v>
      </c>
      <c r="E2436" s="186">
        <v>8.82</v>
      </c>
      <c r="F2436" s="186">
        <v>8.4499999999999993</v>
      </c>
      <c r="G2436" s="186">
        <v>5.0651361899999996</v>
      </c>
    </row>
    <row r="2437" spans="1:7" ht="14.4">
      <c r="A2437" s="186">
        <v>2436</v>
      </c>
      <c r="B2437" s="186" t="s">
        <v>210</v>
      </c>
      <c r="C2437" s="186" t="s">
        <v>2761</v>
      </c>
      <c r="D2437" s="186">
        <v>203.1</v>
      </c>
      <c r="E2437" s="186">
        <v>8.4499999999999993</v>
      </c>
      <c r="F2437" s="186">
        <v>8.4499999999999993</v>
      </c>
      <c r="G2437" s="186">
        <v>5.0651361899999996</v>
      </c>
    </row>
    <row r="2438" spans="1:7" ht="14.4">
      <c r="A2438" s="186">
        <v>2437</v>
      </c>
      <c r="B2438" s="186" t="s">
        <v>2575</v>
      </c>
      <c r="C2438" s="186" t="s">
        <v>2762</v>
      </c>
      <c r="D2438" s="187">
        <v>1143.5999999999999</v>
      </c>
      <c r="E2438" s="186">
        <v>8.8800000000000008</v>
      </c>
      <c r="F2438" s="186">
        <v>8.4600000000000009</v>
      </c>
      <c r="G2438" s="186">
        <v>5.0744853379999997</v>
      </c>
    </row>
    <row r="2439" spans="1:7" ht="14.4">
      <c r="A2439" s="186">
        <v>2438</v>
      </c>
      <c r="B2439" s="186" t="s">
        <v>365</v>
      </c>
      <c r="C2439" s="186" t="s">
        <v>2763</v>
      </c>
      <c r="D2439" s="186">
        <v>0.1</v>
      </c>
      <c r="E2439" s="186">
        <v>8.6999999999999993</v>
      </c>
      <c r="F2439" s="186">
        <v>8.4600000000000009</v>
      </c>
      <c r="G2439" s="186">
        <v>5.0744853379999997</v>
      </c>
    </row>
    <row r="2440" spans="1:7" ht="14.4">
      <c r="A2440" s="186">
        <v>2439</v>
      </c>
      <c r="B2440" s="186" t="s">
        <v>2665</v>
      </c>
      <c r="C2440" s="186" t="s">
        <v>2764</v>
      </c>
      <c r="D2440" s="187">
        <v>3096</v>
      </c>
      <c r="E2440" s="186">
        <v>8.52</v>
      </c>
      <c r="F2440" s="186">
        <v>8.4600000000000009</v>
      </c>
      <c r="G2440" s="186">
        <v>5.0744853379999997</v>
      </c>
    </row>
    <row r="2441" spans="1:7" ht="14.4">
      <c r="A2441" s="186">
        <v>2440</v>
      </c>
      <c r="B2441" s="186" t="s">
        <v>373</v>
      </c>
      <c r="C2441" s="186" t="s">
        <v>2765</v>
      </c>
      <c r="D2441" s="186">
        <v>47.7</v>
      </c>
      <c r="E2441" s="186">
        <v>8.5500000000000007</v>
      </c>
      <c r="F2441" s="186">
        <v>8.4600000000000009</v>
      </c>
      <c r="G2441" s="186">
        <v>5.0744853379999997</v>
      </c>
    </row>
    <row r="2442" spans="1:7" ht="14.4">
      <c r="A2442" s="186">
        <v>2441</v>
      </c>
      <c r="B2442" s="186" t="s">
        <v>415</v>
      </c>
      <c r="C2442" s="186" t="s">
        <v>2766</v>
      </c>
      <c r="D2442" s="187">
        <v>13696.5</v>
      </c>
      <c r="E2442" s="186">
        <v>8.58</v>
      </c>
      <c r="F2442" s="186">
        <v>8.4600000000000009</v>
      </c>
      <c r="G2442" s="186">
        <v>5.0744853379999997</v>
      </c>
    </row>
    <row r="2443" spans="1:7" ht="14.4">
      <c r="A2443" s="186">
        <v>2442</v>
      </c>
      <c r="B2443" s="186" t="s">
        <v>821</v>
      </c>
      <c r="C2443" s="186" t="s">
        <v>2767</v>
      </c>
      <c r="D2443" s="187">
        <v>1156.3</v>
      </c>
      <c r="E2443" s="186">
        <v>8.56</v>
      </c>
      <c r="F2443" s="186">
        <v>8.4600000000000009</v>
      </c>
      <c r="G2443" s="186">
        <v>5.0744853379999997</v>
      </c>
    </row>
    <row r="2444" spans="1:7" ht="14.4">
      <c r="A2444" s="186">
        <v>2443</v>
      </c>
      <c r="B2444" s="186" t="s">
        <v>241</v>
      </c>
      <c r="C2444" s="186" t="s">
        <v>2768</v>
      </c>
      <c r="D2444" s="186">
        <v>1.8</v>
      </c>
      <c r="E2444" s="186">
        <v>8.6199999999999992</v>
      </c>
      <c r="F2444" s="186">
        <v>8.4700000000000006</v>
      </c>
      <c r="G2444" s="186">
        <v>5.0838508779999998</v>
      </c>
    </row>
    <row r="2445" spans="1:7" ht="14.4">
      <c r="A2445" s="186">
        <v>2444</v>
      </c>
      <c r="B2445" s="186" t="s">
        <v>271</v>
      </c>
      <c r="C2445" s="186" t="s">
        <v>2769</v>
      </c>
      <c r="D2445" s="186">
        <v>1.6</v>
      </c>
      <c r="E2445" s="186">
        <v>8.8699999999999992</v>
      </c>
      <c r="F2445" s="186">
        <v>8.4700000000000006</v>
      </c>
      <c r="G2445" s="186">
        <v>5.0838508779999998</v>
      </c>
    </row>
    <row r="2446" spans="1:7" ht="14.4">
      <c r="A2446" s="186">
        <v>2445</v>
      </c>
      <c r="B2446" s="186" t="s">
        <v>175</v>
      </c>
      <c r="C2446" s="186" t="s">
        <v>2770</v>
      </c>
      <c r="D2446" s="186">
        <v>366.4</v>
      </c>
      <c r="E2446" s="186">
        <v>8.7799999999999994</v>
      </c>
      <c r="F2446" s="186">
        <v>8.4700000000000006</v>
      </c>
      <c r="G2446" s="186">
        <v>5.0838508779999998</v>
      </c>
    </row>
    <row r="2447" spans="1:7" ht="14.4">
      <c r="A2447" s="186">
        <v>2446</v>
      </c>
      <c r="B2447" s="186" t="s">
        <v>553</v>
      </c>
      <c r="C2447" s="186" t="s">
        <v>2771</v>
      </c>
      <c r="D2447" s="186">
        <v>171.1</v>
      </c>
      <c r="E2447" s="186">
        <v>8.43</v>
      </c>
      <c r="F2447" s="186">
        <v>8.4700000000000006</v>
      </c>
      <c r="G2447" s="186">
        <v>5.0838508779999998</v>
      </c>
    </row>
    <row r="2448" spans="1:7" ht="14.4">
      <c r="A2448" s="186">
        <v>2447</v>
      </c>
      <c r="B2448" s="186" t="s">
        <v>271</v>
      </c>
      <c r="C2448" s="186" t="s">
        <v>2772</v>
      </c>
      <c r="D2448" s="186">
        <v>46.8</v>
      </c>
      <c r="E2448" s="186">
        <v>8.7100000000000009</v>
      </c>
      <c r="F2448" s="186">
        <v>8.48</v>
      </c>
      <c r="G2448" s="186">
        <v>5.0932328379999996</v>
      </c>
    </row>
    <row r="2449" spans="1:7" ht="14.4">
      <c r="A2449" s="186">
        <v>2448</v>
      </c>
      <c r="B2449" s="186" t="s">
        <v>178</v>
      </c>
      <c r="C2449" s="186" t="s">
        <v>2773</v>
      </c>
      <c r="D2449" s="186">
        <v>95.8</v>
      </c>
      <c r="E2449" s="186">
        <v>8.39</v>
      </c>
      <c r="F2449" s="186">
        <v>8.48</v>
      </c>
      <c r="G2449" s="186">
        <v>5.0932328379999996</v>
      </c>
    </row>
    <row r="2450" spans="1:7" ht="14.4">
      <c r="A2450" s="186">
        <v>2449</v>
      </c>
      <c r="B2450" s="186" t="s">
        <v>553</v>
      </c>
      <c r="C2450" s="186" t="s">
        <v>2774</v>
      </c>
      <c r="D2450" s="186">
        <v>338</v>
      </c>
      <c r="E2450" s="186">
        <v>8.86</v>
      </c>
      <c r="F2450" s="186">
        <v>8.48</v>
      </c>
      <c r="G2450" s="186">
        <v>5.0932328379999996</v>
      </c>
    </row>
    <row r="2451" spans="1:7" ht="14.4">
      <c r="A2451" s="186">
        <v>2450</v>
      </c>
      <c r="B2451" s="186" t="s">
        <v>553</v>
      </c>
      <c r="C2451" s="186" t="s">
        <v>2775</v>
      </c>
      <c r="D2451" s="186">
        <v>265.39999999999998</v>
      </c>
      <c r="E2451" s="186">
        <v>8.86</v>
      </c>
      <c r="F2451" s="186">
        <v>8.48</v>
      </c>
      <c r="G2451" s="186">
        <v>5.0932328379999996</v>
      </c>
    </row>
    <row r="2452" spans="1:7" ht="14.4">
      <c r="A2452" s="186">
        <v>2451</v>
      </c>
      <c r="B2452" s="186" t="s">
        <v>340</v>
      </c>
      <c r="C2452" s="186" t="s">
        <v>2776</v>
      </c>
      <c r="D2452" s="187">
        <v>1954.9</v>
      </c>
      <c r="E2452" s="186">
        <v>8.51</v>
      </c>
      <c r="F2452" s="186">
        <v>8.48</v>
      </c>
      <c r="G2452" s="186">
        <v>5.0932328379999996</v>
      </c>
    </row>
    <row r="2453" spans="1:7" ht="14.4">
      <c r="A2453" s="186">
        <v>2452</v>
      </c>
      <c r="B2453" s="186" t="s">
        <v>241</v>
      </c>
      <c r="C2453" s="186" t="s">
        <v>2777</v>
      </c>
      <c r="D2453" s="186">
        <v>101.5</v>
      </c>
      <c r="E2453" s="186">
        <v>8.64</v>
      </c>
      <c r="F2453" s="186">
        <v>8.49</v>
      </c>
      <c r="G2453" s="186">
        <v>5.1026312440000003</v>
      </c>
    </row>
    <row r="2454" spans="1:7" ht="14.4">
      <c r="A2454" s="186">
        <v>2453</v>
      </c>
      <c r="B2454" s="186" t="s">
        <v>1228</v>
      </c>
      <c r="C2454" s="186" t="s">
        <v>2778</v>
      </c>
      <c r="D2454" s="186">
        <v>888.9</v>
      </c>
      <c r="E2454" s="186">
        <v>8.6300000000000008</v>
      </c>
      <c r="F2454" s="186">
        <v>8.49</v>
      </c>
      <c r="G2454" s="186">
        <v>5.1026312440000003</v>
      </c>
    </row>
    <row r="2455" spans="1:7" ht="14.4">
      <c r="A2455" s="186">
        <v>2454</v>
      </c>
      <c r="B2455" s="186" t="s">
        <v>365</v>
      </c>
      <c r="C2455" s="186" t="s">
        <v>2779</v>
      </c>
      <c r="D2455" s="187">
        <v>1289.5</v>
      </c>
      <c r="E2455" s="186">
        <v>8.89</v>
      </c>
      <c r="F2455" s="186">
        <v>8.49</v>
      </c>
      <c r="G2455" s="186">
        <v>5.1026312440000003</v>
      </c>
    </row>
    <row r="2456" spans="1:7" ht="14.4">
      <c r="A2456" s="186">
        <v>2455</v>
      </c>
      <c r="B2456" s="186" t="s">
        <v>146</v>
      </c>
      <c r="C2456" s="186" t="s">
        <v>2780</v>
      </c>
      <c r="D2456" s="186">
        <v>105.6</v>
      </c>
      <c r="E2456" s="186">
        <v>9.02</v>
      </c>
      <c r="F2456" s="186">
        <v>8.49</v>
      </c>
      <c r="G2456" s="186">
        <v>5.1026312440000003</v>
      </c>
    </row>
    <row r="2457" spans="1:7" ht="14.4">
      <c r="A2457" s="186">
        <v>2456</v>
      </c>
      <c r="B2457" s="186" t="s">
        <v>477</v>
      </c>
      <c r="C2457" s="186" t="s">
        <v>2781</v>
      </c>
      <c r="D2457" s="186">
        <v>2.4</v>
      </c>
      <c r="E2457" s="186">
        <v>8.6999999999999993</v>
      </c>
      <c r="F2457" s="186">
        <v>8.5</v>
      </c>
      <c r="G2457" s="186">
        <v>5.112046125</v>
      </c>
    </row>
    <row r="2458" spans="1:7" ht="14.4">
      <c r="A2458" s="186">
        <v>2457</v>
      </c>
      <c r="B2458" s="186" t="s">
        <v>477</v>
      </c>
      <c r="C2458" s="186" t="s">
        <v>2782</v>
      </c>
      <c r="D2458" s="186">
        <v>151.30000000000001</v>
      </c>
      <c r="E2458" s="186">
        <v>8.6999999999999993</v>
      </c>
      <c r="F2458" s="186">
        <v>8.5</v>
      </c>
      <c r="G2458" s="186">
        <v>5.112046125</v>
      </c>
    </row>
    <row r="2459" spans="1:7" ht="14.4">
      <c r="A2459" s="186">
        <v>2458</v>
      </c>
      <c r="B2459" s="186" t="s">
        <v>1228</v>
      </c>
      <c r="C2459" s="186" t="s">
        <v>2783</v>
      </c>
      <c r="D2459" s="186">
        <v>120.4</v>
      </c>
      <c r="E2459" s="186">
        <v>8.7899999999999991</v>
      </c>
      <c r="F2459" s="186">
        <v>8.51</v>
      </c>
      <c r="G2459" s="186">
        <v>5.1214775059999997</v>
      </c>
    </row>
    <row r="2460" spans="1:7" ht="14.4">
      <c r="A2460" s="186">
        <v>2459</v>
      </c>
      <c r="B2460" s="186" t="s">
        <v>1228</v>
      </c>
      <c r="C2460" s="186" t="s">
        <v>2784</v>
      </c>
      <c r="D2460" s="187">
        <v>51233.1</v>
      </c>
      <c r="E2460" s="186">
        <v>8.48</v>
      </c>
      <c r="F2460" s="186">
        <v>8.51</v>
      </c>
      <c r="G2460" s="186">
        <v>5.1214775059999997</v>
      </c>
    </row>
    <row r="2461" spans="1:7" ht="14.4">
      <c r="A2461" s="186">
        <v>2460</v>
      </c>
      <c r="B2461" s="186" t="s">
        <v>178</v>
      </c>
      <c r="C2461" s="186" t="s">
        <v>2785</v>
      </c>
      <c r="D2461" s="186">
        <v>50.5</v>
      </c>
      <c r="E2461" s="186">
        <v>8.5399999999999991</v>
      </c>
      <c r="F2461" s="186">
        <v>8.51</v>
      </c>
      <c r="G2461" s="186">
        <v>5.1214775059999997</v>
      </c>
    </row>
    <row r="2462" spans="1:7" ht="14.4">
      <c r="A2462" s="186">
        <v>2461</v>
      </c>
      <c r="B2462" s="186" t="s">
        <v>263</v>
      </c>
      <c r="C2462" s="186" t="s">
        <v>2786</v>
      </c>
      <c r="D2462" s="186">
        <v>441</v>
      </c>
      <c r="E2462" s="186">
        <v>8.74</v>
      </c>
      <c r="F2462" s="186">
        <v>8.51</v>
      </c>
      <c r="G2462" s="186">
        <v>5.1214775059999997</v>
      </c>
    </row>
    <row r="2463" spans="1:7" ht="14.4">
      <c r="A2463" s="186">
        <v>2462</v>
      </c>
      <c r="B2463" s="186" t="s">
        <v>146</v>
      </c>
      <c r="C2463" s="186" t="s">
        <v>2787</v>
      </c>
      <c r="D2463" s="187">
        <v>2258.8000000000002</v>
      </c>
      <c r="E2463" s="186">
        <v>8.7200000000000006</v>
      </c>
      <c r="F2463" s="186">
        <v>8.51</v>
      </c>
      <c r="G2463" s="186">
        <v>5.1214775059999997</v>
      </c>
    </row>
    <row r="2464" spans="1:7" ht="14.4">
      <c r="A2464" s="186">
        <v>2463</v>
      </c>
      <c r="B2464" s="186" t="s">
        <v>2085</v>
      </c>
      <c r="C2464" s="186" t="s">
        <v>2788</v>
      </c>
      <c r="D2464" s="186">
        <v>354.6</v>
      </c>
      <c r="E2464" s="186">
        <v>8.8000000000000007</v>
      </c>
      <c r="F2464" s="186">
        <v>8.51</v>
      </c>
      <c r="G2464" s="186">
        <v>5.1214775059999997</v>
      </c>
    </row>
    <row r="2465" spans="1:7" ht="14.4">
      <c r="A2465" s="186">
        <v>2464</v>
      </c>
      <c r="B2465" s="186" t="s">
        <v>184</v>
      </c>
      <c r="C2465" s="186" t="s">
        <v>2789</v>
      </c>
      <c r="D2465" s="187">
        <v>4476.6000000000004</v>
      </c>
      <c r="E2465" s="186">
        <v>8.74</v>
      </c>
      <c r="F2465" s="186">
        <v>8.51</v>
      </c>
      <c r="G2465" s="186">
        <v>5.1214775059999997</v>
      </c>
    </row>
    <row r="2466" spans="1:7" ht="14.4">
      <c r="A2466" s="186">
        <v>2465</v>
      </c>
      <c r="B2466" s="186" t="s">
        <v>280</v>
      </c>
      <c r="C2466" s="186" t="s">
        <v>2790</v>
      </c>
      <c r="D2466" s="186">
        <v>1.7</v>
      </c>
      <c r="E2466" s="186">
        <v>9.43</v>
      </c>
      <c r="F2466" s="186">
        <v>8.51</v>
      </c>
      <c r="G2466" s="186">
        <v>5.1214775059999997</v>
      </c>
    </row>
    <row r="2467" spans="1:7" ht="14.4">
      <c r="A2467" s="186">
        <v>2466</v>
      </c>
      <c r="B2467" s="186" t="s">
        <v>1228</v>
      </c>
      <c r="C2467" s="186" t="s">
        <v>2791</v>
      </c>
      <c r="D2467" s="187">
        <v>4493.6000000000004</v>
      </c>
      <c r="E2467" s="186">
        <v>8.8000000000000007</v>
      </c>
      <c r="F2467" s="186">
        <v>8.52</v>
      </c>
      <c r="G2467" s="186">
        <v>5.1309254170000003</v>
      </c>
    </row>
    <row r="2468" spans="1:7" ht="14.4">
      <c r="A2468" s="186">
        <v>2467</v>
      </c>
      <c r="B2468" s="186" t="s">
        <v>1228</v>
      </c>
      <c r="C2468" s="186" t="s">
        <v>2792</v>
      </c>
      <c r="D2468" s="186">
        <v>12.8</v>
      </c>
      <c r="E2468" s="186">
        <v>8.81</v>
      </c>
      <c r="F2468" s="186">
        <v>8.52</v>
      </c>
      <c r="G2468" s="186">
        <v>5.1309254170000003</v>
      </c>
    </row>
    <row r="2469" spans="1:7" ht="14.4">
      <c r="A2469" s="186">
        <v>2468</v>
      </c>
      <c r="B2469" s="186" t="s">
        <v>1228</v>
      </c>
      <c r="C2469" s="186" t="s">
        <v>2793</v>
      </c>
      <c r="D2469" s="187">
        <v>2154.9</v>
      </c>
      <c r="E2469" s="186">
        <v>8.66</v>
      </c>
      <c r="F2469" s="186">
        <v>8.52</v>
      </c>
      <c r="G2469" s="186">
        <v>5.1309254170000003</v>
      </c>
    </row>
    <row r="2470" spans="1:7" ht="14.4">
      <c r="A2470" s="186">
        <v>2469</v>
      </c>
      <c r="B2470" s="186" t="s">
        <v>178</v>
      </c>
      <c r="C2470" s="186" t="s">
        <v>2794</v>
      </c>
      <c r="D2470" s="186">
        <v>0.1</v>
      </c>
      <c r="E2470" s="186">
        <v>8.75</v>
      </c>
      <c r="F2470" s="186">
        <v>8.5299999999999994</v>
      </c>
      <c r="G2470" s="186">
        <v>5.1403898830000001</v>
      </c>
    </row>
    <row r="2471" spans="1:7" ht="14.4">
      <c r="A2471" s="186">
        <v>2470</v>
      </c>
      <c r="B2471" s="186" t="s">
        <v>536</v>
      </c>
      <c r="C2471" s="186" t="s">
        <v>2795</v>
      </c>
      <c r="D2471" s="186">
        <v>555.5</v>
      </c>
      <c r="E2471" s="186">
        <v>8.7799999999999994</v>
      </c>
      <c r="F2471" s="186">
        <v>8.5399999999999991</v>
      </c>
      <c r="G2471" s="186">
        <v>5.149870934</v>
      </c>
    </row>
    <row r="2472" spans="1:7" ht="14.4">
      <c r="A2472" s="186">
        <v>2471</v>
      </c>
      <c r="B2472" s="186" t="s">
        <v>192</v>
      </c>
      <c r="C2472" s="186" t="s">
        <v>2796</v>
      </c>
      <c r="D2472" s="186">
        <v>110.7</v>
      </c>
      <c r="E2472" s="186">
        <v>8.9499999999999993</v>
      </c>
      <c r="F2472" s="186">
        <v>8.5399999999999991</v>
      </c>
      <c r="G2472" s="186">
        <v>5.149870934</v>
      </c>
    </row>
    <row r="2473" spans="1:7" ht="14.4">
      <c r="A2473" s="186">
        <v>2472</v>
      </c>
      <c r="B2473" s="186" t="s">
        <v>340</v>
      </c>
      <c r="C2473" s="186" t="s">
        <v>2797</v>
      </c>
      <c r="D2473" s="186">
        <v>317.5</v>
      </c>
      <c r="E2473" s="186">
        <v>8.2100000000000009</v>
      </c>
      <c r="F2473" s="186">
        <v>8.5399999999999991</v>
      </c>
      <c r="G2473" s="186">
        <v>5.149870934</v>
      </c>
    </row>
    <row r="2474" spans="1:7" ht="14.4">
      <c r="A2474" s="186">
        <v>2473</v>
      </c>
      <c r="B2474" s="186" t="s">
        <v>138</v>
      </c>
      <c r="C2474" s="186" t="s">
        <v>2798</v>
      </c>
      <c r="D2474" s="186">
        <v>5.0999999999999996</v>
      </c>
      <c r="E2474" s="186">
        <v>8.06</v>
      </c>
      <c r="F2474" s="186">
        <v>8.5500000000000007</v>
      </c>
      <c r="G2474" s="186">
        <v>5.1593685950000001</v>
      </c>
    </row>
    <row r="2475" spans="1:7" ht="14.4">
      <c r="A2475" s="186">
        <v>2474</v>
      </c>
      <c r="B2475" s="186" t="s">
        <v>178</v>
      </c>
      <c r="C2475" s="186" t="s">
        <v>2799</v>
      </c>
      <c r="D2475" s="186">
        <v>17.600000000000001</v>
      </c>
      <c r="E2475" s="186">
        <v>9</v>
      </c>
      <c r="F2475" s="186">
        <v>8.5500000000000007</v>
      </c>
      <c r="G2475" s="186">
        <v>5.1593685950000001</v>
      </c>
    </row>
    <row r="2476" spans="1:7" ht="14.4">
      <c r="A2476" s="186">
        <v>2475</v>
      </c>
      <c r="B2476" s="186" t="s">
        <v>365</v>
      </c>
      <c r="C2476" s="186" t="s">
        <v>2800</v>
      </c>
      <c r="D2476" s="187">
        <v>1842.7</v>
      </c>
      <c r="E2476" s="186">
        <v>8.6</v>
      </c>
      <c r="F2476" s="186">
        <v>8.5500000000000007</v>
      </c>
      <c r="G2476" s="186">
        <v>5.1593685950000001</v>
      </c>
    </row>
    <row r="2477" spans="1:7" ht="14.4">
      <c r="A2477" s="186">
        <v>2476</v>
      </c>
      <c r="B2477" s="186" t="s">
        <v>146</v>
      </c>
      <c r="C2477" s="186" t="s">
        <v>2801</v>
      </c>
      <c r="D2477" s="186">
        <v>99.3</v>
      </c>
      <c r="E2477" s="186">
        <v>8.76</v>
      </c>
      <c r="F2477" s="186">
        <v>8.5500000000000007</v>
      </c>
      <c r="G2477" s="186">
        <v>5.1593685950000001</v>
      </c>
    </row>
    <row r="2478" spans="1:7" ht="14.4">
      <c r="A2478" s="186">
        <v>2477</v>
      </c>
      <c r="B2478" s="186" t="s">
        <v>148</v>
      </c>
      <c r="C2478" s="186" t="s">
        <v>2802</v>
      </c>
      <c r="D2478" s="186">
        <v>120.6</v>
      </c>
      <c r="E2478" s="186">
        <v>8.64</v>
      </c>
      <c r="F2478" s="186">
        <v>8.5500000000000007</v>
      </c>
      <c r="G2478" s="186">
        <v>5.1593685950000001</v>
      </c>
    </row>
    <row r="2479" spans="1:7" ht="14.4">
      <c r="A2479" s="186">
        <v>2478</v>
      </c>
      <c r="B2479" s="186" t="s">
        <v>280</v>
      </c>
      <c r="C2479" s="186" t="s">
        <v>2803</v>
      </c>
      <c r="D2479" s="186">
        <v>56.9</v>
      </c>
      <c r="E2479" s="186">
        <v>9.02</v>
      </c>
      <c r="F2479" s="186">
        <v>8.5500000000000007</v>
      </c>
      <c r="G2479" s="186">
        <v>5.1593685950000001</v>
      </c>
    </row>
    <row r="2480" spans="1:7" ht="14.4">
      <c r="A2480" s="186">
        <v>2479</v>
      </c>
      <c r="B2480" s="186" t="s">
        <v>263</v>
      </c>
      <c r="C2480" s="186" t="s">
        <v>2804</v>
      </c>
      <c r="D2480" s="186">
        <v>426.6</v>
      </c>
      <c r="E2480" s="186">
        <v>8.7100000000000009</v>
      </c>
      <c r="F2480" s="186">
        <v>8.56</v>
      </c>
      <c r="G2480" s="186">
        <v>5.1688828950000003</v>
      </c>
    </row>
    <row r="2481" spans="1:7" ht="14.4">
      <c r="A2481" s="186">
        <v>2480</v>
      </c>
      <c r="B2481" s="186" t="s">
        <v>454</v>
      </c>
      <c r="C2481" s="186" t="s">
        <v>2805</v>
      </c>
      <c r="D2481" s="187">
        <v>1763</v>
      </c>
      <c r="E2481" s="186">
        <v>8.9</v>
      </c>
      <c r="F2481" s="186">
        <v>8.56</v>
      </c>
      <c r="G2481" s="186">
        <v>5.1688828950000003</v>
      </c>
    </row>
    <row r="2482" spans="1:7" ht="14.4">
      <c r="A2482" s="186">
        <v>2481</v>
      </c>
      <c r="B2482" s="186" t="s">
        <v>263</v>
      </c>
      <c r="C2482" s="186" t="s">
        <v>2806</v>
      </c>
      <c r="D2482" s="186">
        <v>982.1</v>
      </c>
      <c r="E2482" s="186">
        <v>8.58</v>
      </c>
      <c r="F2482" s="186">
        <v>8.57</v>
      </c>
      <c r="G2482" s="186">
        <v>5.1784138620000002</v>
      </c>
    </row>
    <row r="2483" spans="1:7" ht="14.4">
      <c r="A2483" s="186">
        <v>2482</v>
      </c>
      <c r="B2483" s="186" t="s">
        <v>335</v>
      </c>
      <c r="C2483" s="186" t="s">
        <v>2807</v>
      </c>
      <c r="D2483" s="187">
        <v>6858.5</v>
      </c>
      <c r="E2483" s="186">
        <v>8.4700000000000006</v>
      </c>
      <c r="F2483" s="186">
        <v>8.57</v>
      </c>
      <c r="G2483" s="186">
        <v>5.1784138620000002</v>
      </c>
    </row>
    <row r="2484" spans="1:7" ht="14.4">
      <c r="A2484" s="186">
        <v>2483</v>
      </c>
      <c r="B2484" s="186" t="s">
        <v>118</v>
      </c>
      <c r="C2484" s="186" t="s">
        <v>2808</v>
      </c>
      <c r="D2484" s="186">
        <v>90.4</v>
      </c>
      <c r="E2484" s="186">
        <v>8.4700000000000006</v>
      </c>
      <c r="F2484" s="186">
        <v>8.57</v>
      </c>
      <c r="G2484" s="186">
        <v>5.1784138620000002</v>
      </c>
    </row>
    <row r="2485" spans="1:7" ht="14.4">
      <c r="A2485" s="186">
        <v>2484</v>
      </c>
      <c r="B2485" s="186" t="s">
        <v>834</v>
      </c>
      <c r="C2485" s="186" t="s">
        <v>2809</v>
      </c>
      <c r="D2485" s="186">
        <v>116.5</v>
      </c>
      <c r="E2485" s="186">
        <v>8.59</v>
      </c>
      <c r="F2485" s="186">
        <v>8.57</v>
      </c>
      <c r="G2485" s="186">
        <v>5.1784138620000002</v>
      </c>
    </row>
    <row r="2486" spans="1:7" ht="14.4">
      <c r="A2486" s="186">
        <v>2485</v>
      </c>
      <c r="B2486" s="186" t="s">
        <v>122</v>
      </c>
      <c r="C2486" s="186" t="s">
        <v>2810</v>
      </c>
      <c r="D2486" s="187">
        <v>3052.8</v>
      </c>
      <c r="E2486" s="186">
        <v>9.31</v>
      </c>
      <c r="F2486" s="186">
        <v>8.58</v>
      </c>
      <c r="G2486" s="186">
        <v>5.1879615220000002</v>
      </c>
    </row>
    <row r="2487" spans="1:7" ht="14.4">
      <c r="A2487" s="186">
        <v>2486</v>
      </c>
      <c r="B2487" s="186" t="s">
        <v>834</v>
      </c>
      <c r="C2487" s="186" t="s">
        <v>2811</v>
      </c>
      <c r="D2487" s="186">
        <v>36.1</v>
      </c>
      <c r="E2487" s="186">
        <v>8.59</v>
      </c>
      <c r="F2487" s="186">
        <v>8.58</v>
      </c>
      <c r="G2487" s="186">
        <v>5.1879615220000002</v>
      </c>
    </row>
    <row r="2488" spans="1:7" ht="14.4">
      <c r="A2488" s="186">
        <v>2487</v>
      </c>
      <c r="B2488" s="186" t="s">
        <v>565</v>
      </c>
      <c r="C2488" s="186" t="s">
        <v>2812</v>
      </c>
      <c r="D2488" s="186">
        <v>12.3</v>
      </c>
      <c r="E2488" s="186">
        <v>8.58</v>
      </c>
      <c r="F2488" s="186">
        <v>8.58</v>
      </c>
      <c r="G2488" s="186">
        <v>5.1879615220000002</v>
      </c>
    </row>
    <row r="2489" spans="1:7" ht="14.4">
      <c r="A2489" s="186">
        <v>2488</v>
      </c>
      <c r="B2489" s="186" t="s">
        <v>138</v>
      </c>
      <c r="C2489" s="186" t="s">
        <v>2813</v>
      </c>
      <c r="D2489" s="187">
        <v>4105.5</v>
      </c>
      <c r="E2489" s="186">
        <v>8.9</v>
      </c>
      <c r="F2489" s="186">
        <v>8.59</v>
      </c>
      <c r="G2489" s="186">
        <v>5.197525905</v>
      </c>
    </row>
    <row r="2490" spans="1:7" ht="14.4">
      <c r="A2490" s="186">
        <v>2489</v>
      </c>
      <c r="B2490" s="186" t="s">
        <v>175</v>
      </c>
      <c r="C2490" s="186" t="s">
        <v>2814</v>
      </c>
      <c r="D2490" s="186">
        <v>137.4</v>
      </c>
      <c r="E2490" s="186">
        <v>8.99</v>
      </c>
      <c r="F2490" s="186">
        <v>8.59</v>
      </c>
      <c r="G2490" s="186">
        <v>5.197525905</v>
      </c>
    </row>
    <row r="2491" spans="1:7" ht="14.4">
      <c r="A2491" s="186">
        <v>2490</v>
      </c>
      <c r="B2491" s="186" t="s">
        <v>2815</v>
      </c>
      <c r="C2491" s="186" t="s">
        <v>2816</v>
      </c>
      <c r="D2491" s="186">
        <v>6.3</v>
      </c>
      <c r="E2491" s="186">
        <v>8.75</v>
      </c>
      <c r="F2491" s="186">
        <v>8.59</v>
      </c>
      <c r="G2491" s="186">
        <v>5.197525905</v>
      </c>
    </row>
    <row r="2492" spans="1:7" ht="14.4">
      <c r="A2492" s="186">
        <v>2491</v>
      </c>
      <c r="B2492" s="186" t="s">
        <v>153</v>
      </c>
      <c r="C2492" s="186" t="s">
        <v>2817</v>
      </c>
      <c r="D2492" s="187">
        <v>1507.6</v>
      </c>
      <c r="E2492" s="186">
        <v>8.93</v>
      </c>
      <c r="F2492" s="186">
        <v>8.6</v>
      </c>
      <c r="G2492" s="186">
        <v>5.207107036</v>
      </c>
    </row>
    <row r="2493" spans="1:7" ht="14.4">
      <c r="A2493" s="186">
        <v>2492</v>
      </c>
      <c r="B2493" s="186" t="s">
        <v>2818</v>
      </c>
      <c r="C2493" s="186" t="s">
        <v>2819</v>
      </c>
      <c r="D2493" s="187">
        <v>2987.8</v>
      </c>
      <c r="E2493" s="186">
        <v>8.66</v>
      </c>
      <c r="F2493" s="186">
        <v>8.6</v>
      </c>
      <c r="G2493" s="186">
        <v>5.207107036</v>
      </c>
    </row>
    <row r="2494" spans="1:7" ht="14.4">
      <c r="A2494" s="186">
        <v>2493</v>
      </c>
      <c r="B2494" s="186" t="s">
        <v>2307</v>
      </c>
      <c r="C2494" s="186" t="s">
        <v>2820</v>
      </c>
      <c r="D2494" s="186">
        <v>52.2</v>
      </c>
      <c r="E2494" s="186">
        <v>8.7100000000000009</v>
      </c>
      <c r="F2494" s="186">
        <v>8.6</v>
      </c>
      <c r="G2494" s="186">
        <v>5.207107036</v>
      </c>
    </row>
    <row r="2495" spans="1:7" ht="14.4">
      <c r="A2495" s="186">
        <v>2494</v>
      </c>
      <c r="B2495" s="186" t="s">
        <v>187</v>
      </c>
      <c r="C2495" s="186" t="s">
        <v>2821</v>
      </c>
      <c r="D2495" s="187">
        <v>39453.9</v>
      </c>
      <c r="E2495" s="186">
        <v>8.77</v>
      </c>
      <c r="F2495" s="186">
        <v>8.6</v>
      </c>
      <c r="G2495" s="186">
        <v>5.207107036</v>
      </c>
    </row>
    <row r="2496" spans="1:7" ht="14.4">
      <c r="A2496" s="186">
        <v>2495</v>
      </c>
      <c r="B2496" s="186" t="s">
        <v>1228</v>
      </c>
      <c r="C2496" s="186" t="s">
        <v>2822</v>
      </c>
      <c r="D2496" s="186">
        <v>124.7</v>
      </c>
      <c r="E2496" s="186">
        <v>8.76</v>
      </c>
      <c r="F2496" s="186">
        <v>8.61</v>
      </c>
      <c r="G2496" s="186">
        <v>5.216704945</v>
      </c>
    </row>
    <row r="2497" spans="1:7" ht="14.4">
      <c r="A2497" s="186">
        <v>2496</v>
      </c>
      <c r="B2497" s="186" t="s">
        <v>178</v>
      </c>
      <c r="C2497" s="186" t="s">
        <v>2823</v>
      </c>
      <c r="D2497" s="186">
        <v>0.1</v>
      </c>
      <c r="E2497" s="186">
        <v>8.85</v>
      </c>
      <c r="F2497" s="186">
        <v>8.61</v>
      </c>
      <c r="G2497" s="186">
        <v>5.216704945</v>
      </c>
    </row>
    <row r="2498" spans="1:7" ht="14.4">
      <c r="A2498" s="186">
        <v>2497</v>
      </c>
      <c r="B2498" s="186" t="s">
        <v>197</v>
      </c>
      <c r="C2498" s="186" t="s">
        <v>2824</v>
      </c>
      <c r="D2498" s="186">
        <v>38.4</v>
      </c>
      <c r="E2498" s="186" t="s">
        <v>152</v>
      </c>
      <c r="F2498" s="186">
        <v>8.61</v>
      </c>
      <c r="G2498" s="186">
        <v>5.216704945</v>
      </c>
    </row>
    <row r="2499" spans="1:7" ht="14.4">
      <c r="A2499" s="186">
        <v>2498</v>
      </c>
      <c r="B2499" s="186" t="s">
        <v>288</v>
      </c>
      <c r="C2499" s="186" t="s">
        <v>2825</v>
      </c>
      <c r="D2499" s="186">
        <v>333</v>
      </c>
      <c r="E2499" s="186">
        <v>8.9499999999999993</v>
      </c>
      <c r="F2499" s="186">
        <v>8.61</v>
      </c>
      <c r="G2499" s="186">
        <v>5.216704945</v>
      </c>
    </row>
    <row r="2500" spans="1:7" ht="14.4">
      <c r="A2500" s="186">
        <v>2499</v>
      </c>
      <c r="B2500" s="186" t="s">
        <v>348</v>
      </c>
      <c r="C2500" s="186" t="s">
        <v>2826</v>
      </c>
      <c r="D2500" s="186">
        <v>568.6</v>
      </c>
      <c r="E2500" s="186">
        <v>8.57</v>
      </c>
      <c r="F2500" s="186">
        <v>8.61</v>
      </c>
      <c r="G2500" s="186">
        <v>5.216704945</v>
      </c>
    </row>
    <row r="2501" spans="1:7" ht="14.4">
      <c r="A2501" s="186">
        <v>2500</v>
      </c>
      <c r="B2501" s="186" t="s">
        <v>2827</v>
      </c>
      <c r="C2501" s="186" t="s">
        <v>2828</v>
      </c>
      <c r="D2501" s="186">
        <v>491.2</v>
      </c>
      <c r="E2501" s="186">
        <v>9.0299999999999994</v>
      </c>
      <c r="F2501" s="186">
        <v>8.61</v>
      </c>
      <c r="G2501" s="186">
        <v>5.216704945</v>
      </c>
    </row>
    <row r="2502" spans="1:7" ht="14.4">
      <c r="A2502" s="186">
        <v>2501</v>
      </c>
      <c r="B2502" s="186" t="s">
        <v>340</v>
      </c>
      <c r="C2502" s="186" t="s">
        <v>2829</v>
      </c>
      <c r="D2502" s="186">
        <v>161.4</v>
      </c>
      <c r="E2502" s="186">
        <v>8.9499999999999993</v>
      </c>
      <c r="F2502" s="186">
        <v>8.61</v>
      </c>
      <c r="G2502" s="186">
        <v>5.216704945</v>
      </c>
    </row>
    <row r="2503" spans="1:7" ht="14.4">
      <c r="A2503" s="186">
        <v>2502</v>
      </c>
      <c r="B2503" s="186" t="s">
        <v>138</v>
      </c>
      <c r="C2503" s="186" t="s">
        <v>2830</v>
      </c>
      <c r="D2503" s="187">
        <v>1061</v>
      </c>
      <c r="E2503" s="186">
        <v>8.4700000000000006</v>
      </c>
      <c r="F2503" s="186">
        <v>8.6199999999999992</v>
      </c>
      <c r="G2503" s="186">
        <v>5.2263196589999996</v>
      </c>
    </row>
    <row r="2504" spans="1:7" ht="14.4">
      <c r="A2504" s="186">
        <v>2503</v>
      </c>
      <c r="B2504" s="186" t="s">
        <v>1228</v>
      </c>
      <c r="C2504" s="186" t="s">
        <v>2831</v>
      </c>
      <c r="D2504" s="187">
        <v>6827.5</v>
      </c>
      <c r="E2504" s="186">
        <v>8.91</v>
      </c>
      <c r="F2504" s="186">
        <v>8.6199999999999992</v>
      </c>
      <c r="G2504" s="186">
        <v>5.2263196589999996</v>
      </c>
    </row>
    <row r="2505" spans="1:7" ht="14.4">
      <c r="A2505" s="186">
        <v>2504</v>
      </c>
      <c r="B2505" s="186" t="s">
        <v>210</v>
      </c>
      <c r="C2505" s="186" t="s">
        <v>2832</v>
      </c>
      <c r="D2505" s="186">
        <v>376.8</v>
      </c>
      <c r="E2505" s="186">
        <v>8.91</v>
      </c>
      <c r="F2505" s="186">
        <v>8.6199999999999992</v>
      </c>
      <c r="G2505" s="186">
        <v>5.2263196589999996</v>
      </c>
    </row>
    <row r="2506" spans="1:7" ht="14.4">
      <c r="A2506" s="186">
        <v>2505</v>
      </c>
      <c r="B2506" s="186" t="s">
        <v>451</v>
      </c>
      <c r="C2506" s="186" t="s">
        <v>2833</v>
      </c>
      <c r="D2506" s="186">
        <v>304</v>
      </c>
      <c r="E2506" s="186">
        <v>8.7100000000000009</v>
      </c>
      <c r="F2506" s="186">
        <v>8.6199999999999992</v>
      </c>
      <c r="G2506" s="186">
        <v>5.2263196589999996</v>
      </c>
    </row>
    <row r="2507" spans="1:7" ht="14.4">
      <c r="A2507" s="186">
        <v>2506</v>
      </c>
      <c r="B2507" s="186" t="s">
        <v>164</v>
      </c>
      <c r="C2507" s="186" t="s">
        <v>2834</v>
      </c>
      <c r="D2507" s="186">
        <v>91.2</v>
      </c>
      <c r="E2507" s="186" t="s">
        <v>152</v>
      </c>
      <c r="F2507" s="186">
        <v>8.6300000000000008</v>
      </c>
      <c r="G2507" s="186">
        <v>5.2359512060000002</v>
      </c>
    </row>
    <row r="2508" spans="1:7" ht="14.4">
      <c r="A2508" s="186">
        <v>2507</v>
      </c>
      <c r="B2508" s="186" t="s">
        <v>146</v>
      </c>
      <c r="C2508" s="944" t="s">
        <v>2835</v>
      </c>
      <c r="D2508" s="187">
        <v>2152.4</v>
      </c>
      <c r="E2508" s="186" t="s">
        <v>152</v>
      </c>
      <c r="F2508" s="186">
        <v>8.6300000000000008</v>
      </c>
      <c r="G2508" s="186">
        <v>5.2359512060000002</v>
      </c>
    </row>
    <row r="2509" spans="1:7" ht="14.4">
      <c r="A2509" s="186">
        <v>2508</v>
      </c>
      <c r="B2509" s="186" t="s">
        <v>210</v>
      </c>
      <c r="C2509" s="186" t="s">
        <v>2836</v>
      </c>
      <c r="D2509" s="186">
        <v>577.79999999999995</v>
      </c>
      <c r="E2509" s="186">
        <v>8.92</v>
      </c>
      <c r="F2509" s="186">
        <v>8.6300000000000008</v>
      </c>
      <c r="G2509" s="186">
        <v>5.2359512060000002</v>
      </c>
    </row>
    <row r="2510" spans="1:7" ht="14.4">
      <c r="A2510" s="186">
        <v>2509</v>
      </c>
      <c r="B2510" s="186" t="s">
        <v>271</v>
      </c>
      <c r="C2510" s="186" t="s">
        <v>2837</v>
      </c>
      <c r="D2510" s="186">
        <v>401.5</v>
      </c>
      <c r="E2510" s="186">
        <v>8.64</v>
      </c>
      <c r="F2510" s="186">
        <v>8.64</v>
      </c>
      <c r="G2510" s="186">
        <v>5.2455996139999996</v>
      </c>
    </row>
    <row r="2511" spans="1:7" ht="14.4">
      <c r="A2511" s="186">
        <v>2510</v>
      </c>
      <c r="B2511" s="186" t="s">
        <v>178</v>
      </c>
      <c r="C2511" s="186" t="s">
        <v>2838</v>
      </c>
      <c r="D2511" s="186">
        <v>0.4</v>
      </c>
      <c r="E2511" s="186">
        <v>8.8699999999999992</v>
      </c>
      <c r="F2511" s="186">
        <v>8.64</v>
      </c>
      <c r="G2511" s="186">
        <v>5.2455996139999996</v>
      </c>
    </row>
    <row r="2512" spans="1:7" ht="14.4">
      <c r="A2512" s="186">
        <v>2511</v>
      </c>
      <c r="B2512" s="186" t="s">
        <v>178</v>
      </c>
      <c r="C2512" s="186" t="s">
        <v>2839</v>
      </c>
      <c r="D2512" s="186">
        <v>53.4</v>
      </c>
      <c r="E2512" s="186">
        <v>8.8800000000000008</v>
      </c>
      <c r="F2512" s="186">
        <v>8.64</v>
      </c>
      <c r="G2512" s="186">
        <v>5.2455996139999996</v>
      </c>
    </row>
    <row r="2513" spans="1:7" ht="14.4">
      <c r="A2513" s="186">
        <v>2512</v>
      </c>
      <c r="B2513" s="186" t="s">
        <v>2269</v>
      </c>
      <c r="C2513" s="186" t="s">
        <v>2840</v>
      </c>
      <c r="D2513" s="186">
        <v>268</v>
      </c>
      <c r="E2513" s="186">
        <v>8.99</v>
      </c>
      <c r="F2513" s="186">
        <v>8.64</v>
      </c>
      <c r="G2513" s="186">
        <v>5.2455996139999996</v>
      </c>
    </row>
    <row r="2514" spans="1:7" ht="14.4">
      <c r="A2514" s="186">
        <v>2513</v>
      </c>
      <c r="B2514" s="186" t="s">
        <v>280</v>
      </c>
      <c r="C2514" s="186" t="s">
        <v>2841</v>
      </c>
      <c r="D2514" s="186">
        <v>6.4</v>
      </c>
      <c r="E2514" s="186">
        <v>9.07</v>
      </c>
      <c r="F2514" s="186">
        <v>8.64</v>
      </c>
      <c r="G2514" s="186">
        <v>5.2455996139999996</v>
      </c>
    </row>
    <row r="2515" spans="1:7" ht="14.4">
      <c r="A2515" s="186">
        <v>2514</v>
      </c>
      <c r="B2515" s="186" t="s">
        <v>1168</v>
      </c>
      <c r="C2515" s="186" t="s">
        <v>2842</v>
      </c>
      <c r="D2515" s="186">
        <v>19.600000000000001</v>
      </c>
      <c r="E2515" s="186">
        <v>8.76</v>
      </c>
      <c r="F2515" s="186">
        <v>8.65</v>
      </c>
      <c r="G2515" s="186">
        <v>5.2552649110000003</v>
      </c>
    </row>
    <row r="2516" spans="1:7" ht="14.4">
      <c r="A2516" s="186">
        <v>2515</v>
      </c>
      <c r="B2516" s="186" t="s">
        <v>1168</v>
      </c>
      <c r="C2516" s="186" t="s">
        <v>2843</v>
      </c>
      <c r="D2516" s="186">
        <v>132.80000000000001</v>
      </c>
      <c r="E2516" s="186">
        <v>8.93</v>
      </c>
      <c r="F2516" s="186">
        <v>8.65</v>
      </c>
      <c r="G2516" s="186">
        <v>5.2552649110000003</v>
      </c>
    </row>
    <row r="2517" spans="1:7" ht="14.4">
      <c r="A2517" s="186">
        <v>2516</v>
      </c>
      <c r="B2517" s="186" t="s">
        <v>1228</v>
      </c>
      <c r="C2517" s="186" t="s">
        <v>2844</v>
      </c>
      <c r="D2517" s="187">
        <v>10972.9</v>
      </c>
      <c r="E2517" s="186">
        <v>8.94</v>
      </c>
      <c r="F2517" s="186">
        <v>8.65</v>
      </c>
      <c r="G2517" s="186">
        <v>5.2552649110000003</v>
      </c>
    </row>
    <row r="2518" spans="1:7" ht="14.4">
      <c r="A2518" s="186">
        <v>2517</v>
      </c>
      <c r="B2518" s="186" t="s">
        <v>146</v>
      </c>
      <c r="C2518" s="186" t="s">
        <v>2845</v>
      </c>
      <c r="D2518" s="186">
        <v>109.5</v>
      </c>
      <c r="E2518" s="186">
        <v>9.16</v>
      </c>
      <c r="F2518" s="186">
        <v>8.65</v>
      </c>
      <c r="G2518" s="186">
        <v>5.2552649110000003</v>
      </c>
    </row>
    <row r="2519" spans="1:7" ht="14.4">
      <c r="A2519" s="186">
        <v>2518</v>
      </c>
      <c r="B2519" s="186" t="s">
        <v>148</v>
      </c>
      <c r="C2519" s="186" t="s">
        <v>2846</v>
      </c>
      <c r="D2519" s="186">
        <v>5</v>
      </c>
      <c r="E2519" s="186">
        <v>9.07</v>
      </c>
      <c r="F2519" s="186">
        <v>8.65</v>
      </c>
      <c r="G2519" s="186">
        <v>5.2552649110000003</v>
      </c>
    </row>
    <row r="2520" spans="1:7" ht="14.4">
      <c r="A2520" s="186">
        <v>2519</v>
      </c>
      <c r="B2520" s="186" t="s">
        <v>288</v>
      </c>
      <c r="C2520" s="186" t="s">
        <v>2847</v>
      </c>
      <c r="D2520" s="186">
        <v>2.5</v>
      </c>
      <c r="E2520" s="186">
        <v>8.73</v>
      </c>
      <c r="F2520" s="186">
        <v>8.65</v>
      </c>
      <c r="G2520" s="186">
        <v>5.2552649110000003</v>
      </c>
    </row>
    <row r="2521" spans="1:7" ht="14.4">
      <c r="A2521" s="186">
        <v>2520</v>
      </c>
      <c r="B2521" s="186" t="s">
        <v>2307</v>
      </c>
      <c r="C2521" s="186" t="s">
        <v>2848</v>
      </c>
      <c r="D2521" s="186">
        <v>16.5</v>
      </c>
      <c r="E2521" s="186">
        <v>8.94</v>
      </c>
      <c r="F2521" s="186">
        <v>8.65</v>
      </c>
      <c r="G2521" s="186">
        <v>5.2552649110000003</v>
      </c>
    </row>
    <row r="2522" spans="1:7" ht="14.4">
      <c r="A2522" s="186">
        <v>2521</v>
      </c>
      <c r="B2522" s="186" t="s">
        <v>138</v>
      </c>
      <c r="C2522" s="186" t="s">
        <v>2849</v>
      </c>
      <c r="D2522" s="186">
        <v>166.8</v>
      </c>
      <c r="E2522" s="186">
        <v>8.98</v>
      </c>
      <c r="F2522" s="186">
        <v>8.66</v>
      </c>
      <c r="G2522" s="186">
        <v>5.264947125</v>
      </c>
    </row>
    <row r="2523" spans="1:7" ht="14.4">
      <c r="A2523" s="186">
        <v>2522</v>
      </c>
      <c r="B2523" s="186" t="s">
        <v>1228</v>
      </c>
      <c r="C2523" s="186" t="s">
        <v>2850</v>
      </c>
      <c r="D2523" s="187">
        <v>1876.1</v>
      </c>
      <c r="E2523" s="186">
        <v>8.43</v>
      </c>
      <c r="F2523" s="186">
        <v>8.66</v>
      </c>
      <c r="G2523" s="186">
        <v>5.264947125</v>
      </c>
    </row>
    <row r="2524" spans="1:7" ht="14.4">
      <c r="A2524" s="186">
        <v>2523</v>
      </c>
      <c r="B2524" s="186" t="s">
        <v>2610</v>
      </c>
      <c r="C2524" s="186" t="s">
        <v>2851</v>
      </c>
      <c r="D2524" s="186">
        <v>282.7</v>
      </c>
      <c r="E2524" s="186">
        <v>8.8000000000000007</v>
      </c>
      <c r="F2524" s="186">
        <v>8.66</v>
      </c>
      <c r="G2524" s="186">
        <v>5.264947125</v>
      </c>
    </row>
    <row r="2525" spans="1:7" ht="14.4">
      <c r="A2525" s="186">
        <v>2524</v>
      </c>
      <c r="B2525" s="186" t="s">
        <v>422</v>
      </c>
      <c r="C2525" s="186" t="s">
        <v>2852</v>
      </c>
      <c r="D2525" s="186">
        <v>22</v>
      </c>
      <c r="E2525" s="186">
        <v>8.99</v>
      </c>
      <c r="F2525" s="186">
        <v>8.66</v>
      </c>
      <c r="G2525" s="186">
        <v>5.264947125</v>
      </c>
    </row>
    <row r="2526" spans="1:7" ht="14.4">
      <c r="A2526" s="186">
        <v>2525</v>
      </c>
      <c r="B2526" s="186" t="s">
        <v>307</v>
      </c>
      <c r="C2526" s="186" t="s">
        <v>2853</v>
      </c>
      <c r="D2526" s="186">
        <v>83.2</v>
      </c>
      <c r="E2526" s="186">
        <v>8.9</v>
      </c>
      <c r="F2526" s="186">
        <v>8.66</v>
      </c>
      <c r="G2526" s="186">
        <v>5.264947125</v>
      </c>
    </row>
    <row r="2527" spans="1:7" ht="14.4">
      <c r="A2527" s="186">
        <v>2526</v>
      </c>
      <c r="B2527" s="186" t="s">
        <v>827</v>
      </c>
      <c r="C2527" s="186" t="s">
        <v>2854</v>
      </c>
      <c r="D2527" s="186">
        <v>76.8</v>
      </c>
      <c r="E2527" s="186">
        <v>8.8800000000000008</v>
      </c>
      <c r="F2527" s="186">
        <v>8.66</v>
      </c>
      <c r="G2527" s="186">
        <v>5.264947125</v>
      </c>
    </row>
    <row r="2528" spans="1:7" ht="14.4">
      <c r="A2528" s="186">
        <v>2527</v>
      </c>
      <c r="B2528" s="186" t="s">
        <v>365</v>
      </c>
      <c r="C2528" s="186" t="s">
        <v>2855</v>
      </c>
      <c r="D2528" s="186">
        <v>76.599999999999994</v>
      </c>
      <c r="E2528" s="186">
        <v>9.0399999999999991</v>
      </c>
      <c r="F2528" s="186">
        <v>8.67</v>
      </c>
      <c r="G2528" s="186">
        <v>5.274646283</v>
      </c>
    </row>
    <row r="2529" spans="1:7" ht="14.4">
      <c r="A2529" s="186">
        <v>2528</v>
      </c>
      <c r="B2529" s="186" t="s">
        <v>415</v>
      </c>
      <c r="C2529" s="186" t="s">
        <v>2856</v>
      </c>
      <c r="D2529" s="187">
        <v>6548</v>
      </c>
      <c r="E2529" s="186">
        <v>8.67</v>
      </c>
      <c r="F2529" s="186">
        <v>8.67</v>
      </c>
      <c r="G2529" s="186">
        <v>5.274646283</v>
      </c>
    </row>
    <row r="2530" spans="1:7" ht="14.4">
      <c r="A2530" s="186">
        <v>2529</v>
      </c>
      <c r="B2530" s="186" t="s">
        <v>138</v>
      </c>
      <c r="C2530" s="186" t="s">
        <v>2857</v>
      </c>
      <c r="D2530" s="186">
        <v>90.6</v>
      </c>
      <c r="E2530" s="186">
        <v>8.5299999999999994</v>
      </c>
      <c r="F2530" s="186">
        <v>8.68</v>
      </c>
      <c r="G2530" s="186">
        <v>5.2843624140000003</v>
      </c>
    </row>
    <row r="2531" spans="1:7" ht="14.4">
      <c r="A2531" s="186">
        <v>2530</v>
      </c>
      <c r="B2531" s="186" t="s">
        <v>178</v>
      </c>
      <c r="C2531" s="186" t="s">
        <v>2858</v>
      </c>
      <c r="D2531" s="186">
        <v>0.5</v>
      </c>
      <c r="E2531" s="186">
        <v>8.81</v>
      </c>
      <c r="F2531" s="186">
        <v>8.68</v>
      </c>
      <c r="G2531" s="186">
        <v>5.2843624140000003</v>
      </c>
    </row>
    <row r="2532" spans="1:7" ht="14.4">
      <c r="A2532" s="186">
        <v>2531</v>
      </c>
      <c r="B2532" s="186" t="s">
        <v>226</v>
      </c>
      <c r="C2532" s="186" t="s">
        <v>2859</v>
      </c>
      <c r="D2532" s="186">
        <v>391</v>
      </c>
      <c r="E2532" s="186">
        <v>8.3800000000000008</v>
      </c>
      <c r="F2532" s="186">
        <v>8.68</v>
      </c>
      <c r="G2532" s="186">
        <v>5.2843624140000003</v>
      </c>
    </row>
    <row r="2533" spans="1:7" ht="14.4">
      <c r="A2533" s="186">
        <v>2532</v>
      </c>
      <c r="B2533" s="186" t="s">
        <v>373</v>
      </c>
      <c r="C2533" s="186" t="s">
        <v>2860</v>
      </c>
      <c r="D2533" s="186">
        <v>79.8</v>
      </c>
      <c r="E2533" s="186">
        <v>8.77</v>
      </c>
      <c r="F2533" s="186">
        <v>8.68</v>
      </c>
      <c r="G2533" s="186">
        <v>5.2843624140000003</v>
      </c>
    </row>
    <row r="2534" spans="1:7" ht="14.4">
      <c r="A2534" s="186">
        <v>2533</v>
      </c>
      <c r="B2534" s="186" t="s">
        <v>415</v>
      </c>
      <c r="C2534" s="186" t="s">
        <v>2861</v>
      </c>
      <c r="D2534" s="186">
        <v>166.9</v>
      </c>
      <c r="E2534" s="186">
        <v>8.69</v>
      </c>
      <c r="F2534" s="186">
        <v>8.68</v>
      </c>
      <c r="G2534" s="186">
        <v>5.2843624140000003</v>
      </c>
    </row>
    <row r="2535" spans="1:7" ht="14.4">
      <c r="A2535" s="186">
        <v>2534</v>
      </c>
      <c r="B2535" s="186" t="s">
        <v>415</v>
      </c>
      <c r="C2535" s="186" t="s">
        <v>2862</v>
      </c>
      <c r="D2535" s="186">
        <v>667.6</v>
      </c>
      <c r="E2535" s="186">
        <v>8.69</v>
      </c>
      <c r="F2535" s="186">
        <v>8.68</v>
      </c>
      <c r="G2535" s="186">
        <v>5.2843624140000003</v>
      </c>
    </row>
    <row r="2536" spans="1:7" ht="14.4">
      <c r="A2536" s="186">
        <v>2535</v>
      </c>
      <c r="B2536" s="186" t="s">
        <v>801</v>
      </c>
      <c r="C2536" s="186" t="s">
        <v>2863</v>
      </c>
      <c r="D2536" s="186">
        <v>49.6</v>
      </c>
      <c r="E2536" s="186">
        <v>8.93</v>
      </c>
      <c r="F2536" s="186">
        <v>8.68</v>
      </c>
      <c r="G2536" s="186">
        <v>5.2843624140000003</v>
      </c>
    </row>
    <row r="2537" spans="1:7" ht="14.4">
      <c r="A2537" s="186">
        <v>2536</v>
      </c>
      <c r="B2537" s="186" t="s">
        <v>2307</v>
      </c>
      <c r="C2537" s="186" t="s">
        <v>2864</v>
      </c>
      <c r="D2537" s="186">
        <v>367.1</v>
      </c>
      <c r="E2537" s="186">
        <v>8.8699999999999992</v>
      </c>
      <c r="F2537" s="186">
        <v>8.68</v>
      </c>
      <c r="G2537" s="186">
        <v>5.2843624140000003</v>
      </c>
    </row>
    <row r="2538" spans="1:7" ht="14.4">
      <c r="A2538" s="186">
        <v>2537</v>
      </c>
      <c r="B2538" s="186" t="s">
        <v>184</v>
      </c>
      <c r="C2538" s="186" t="s">
        <v>2865</v>
      </c>
      <c r="D2538" s="187">
        <v>14311.9</v>
      </c>
      <c r="E2538" s="186" t="s">
        <v>152</v>
      </c>
      <c r="F2538" s="186">
        <v>8.68</v>
      </c>
      <c r="G2538" s="186">
        <v>5.2843624140000003</v>
      </c>
    </row>
    <row r="2539" spans="1:7" ht="14.4">
      <c r="A2539" s="186">
        <v>2538</v>
      </c>
      <c r="B2539" s="186" t="s">
        <v>1228</v>
      </c>
      <c r="C2539" s="186" t="s">
        <v>2866</v>
      </c>
      <c r="D2539" s="187">
        <v>1598.7</v>
      </c>
      <c r="E2539" s="186">
        <v>8.64</v>
      </c>
      <c r="F2539" s="186">
        <v>8.69</v>
      </c>
      <c r="G2539" s="186">
        <v>5.2940955470000004</v>
      </c>
    </row>
    <row r="2540" spans="1:7" ht="14.4">
      <c r="A2540" s="186">
        <v>2539</v>
      </c>
      <c r="B2540" s="186" t="s">
        <v>1228</v>
      </c>
      <c r="C2540" s="186" t="s">
        <v>2867</v>
      </c>
      <c r="D2540" s="187">
        <v>3304.2</v>
      </c>
      <c r="E2540" s="186">
        <v>8.4700000000000006</v>
      </c>
      <c r="F2540" s="186">
        <v>8.69</v>
      </c>
      <c r="G2540" s="186">
        <v>5.2940955470000004</v>
      </c>
    </row>
    <row r="2541" spans="1:7" ht="14.4">
      <c r="A2541" s="186">
        <v>2540</v>
      </c>
      <c r="B2541" s="186" t="s">
        <v>1228</v>
      </c>
      <c r="C2541" s="186" t="s">
        <v>2868</v>
      </c>
      <c r="D2541" s="187">
        <v>1669.4</v>
      </c>
      <c r="E2541" s="186">
        <v>8.7899999999999991</v>
      </c>
      <c r="F2541" s="186">
        <v>8.69</v>
      </c>
      <c r="G2541" s="186">
        <v>5.2940955470000004</v>
      </c>
    </row>
    <row r="2542" spans="1:7" ht="14.4">
      <c r="A2542" s="186">
        <v>2541</v>
      </c>
      <c r="B2542" s="186" t="s">
        <v>1228</v>
      </c>
      <c r="C2542" s="186" t="s">
        <v>2869</v>
      </c>
      <c r="D2542" s="187">
        <v>2055.3000000000002</v>
      </c>
      <c r="E2542" s="186">
        <v>8.7799999999999994</v>
      </c>
      <c r="F2542" s="186">
        <v>8.69</v>
      </c>
      <c r="G2542" s="186">
        <v>5.2940955470000004</v>
      </c>
    </row>
    <row r="2543" spans="1:7" ht="14.4">
      <c r="A2543" s="186">
        <v>2542</v>
      </c>
      <c r="B2543" s="186" t="s">
        <v>178</v>
      </c>
      <c r="C2543" s="186" t="s">
        <v>2870</v>
      </c>
      <c r="D2543" s="186">
        <v>9.1</v>
      </c>
      <c r="E2543" s="186">
        <v>8.92</v>
      </c>
      <c r="F2543" s="186">
        <v>8.69</v>
      </c>
      <c r="G2543" s="186">
        <v>5.2940955470000004</v>
      </c>
    </row>
    <row r="2544" spans="1:7" ht="14.4">
      <c r="A2544" s="186">
        <v>2543</v>
      </c>
      <c r="B2544" s="186" t="s">
        <v>178</v>
      </c>
      <c r="C2544" s="186" t="s">
        <v>2871</v>
      </c>
      <c r="D2544" s="187">
        <v>1532.7</v>
      </c>
      <c r="E2544" s="186">
        <v>8.9600000000000009</v>
      </c>
      <c r="F2544" s="186">
        <v>8.69</v>
      </c>
      <c r="G2544" s="186">
        <v>5.2940955470000004</v>
      </c>
    </row>
    <row r="2545" spans="1:7" ht="14.4">
      <c r="A2545" s="186">
        <v>2544</v>
      </c>
      <c r="B2545" s="186" t="s">
        <v>178</v>
      </c>
      <c r="C2545" s="186" t="s">
        <v>2872</v>
      </c>
      <c r="D2545" s="186">
        <v>4.5999999999999996</v>
      </c>
      <c r="E2545" s="186">
        <v>8.9499999999999993</v>
      </c>
      <c r="F2545" s="186">
        <v>8.69</v>
      </c>
      <c r="G2545" s="186">
        <v>5.2940955470000004</v>
      </c>
    </row>
    <row r="2546" spans="1:7" ht="14.4">
      <c r="A2546" s="186">
        <v>2545</v>
      </c>
      <c r="B2546" s="186" t="s">
        <v>178</v>
      </c>
      <c r="C2546" s="186" t="s">
        <v>2873</v>
      </c>
      <c r="D2546" s="186">
        <v>247.9</v>
      </c>
      <c r="E2546" s="186">
        <v>8.57</v>
      </c>
      <c r="F2546" s="186">
        <v>8.69</v>
      </c>
      <c r="G2546" s="186">
        <v>5.2940955470000004</v>
      </c>
    </row>
    <row r="2547" spans="1:7" ht="14.4">
      <c r="A2547" s="186">
        <v>2546</v>
      </c>
      <c r="B2547" s="186" t="s">
        <v>153</v>
      </c>
      <c r="C2547" s="186" t="s">
        <v>2874</v>
      </c>
      <c r="D2547" s="186">
        <v>161.30000000000001</v>
      </c>
      <c r="E2547" s="186">
        <v>9.02</v>
      </c>
      <c r="F2547" s="186">
        <v>8.69</v>
      </c>
      <c r="G2547" s="186">
        <v>5.2940955470000004</v>
      </c>
    </row>
    <row r="2548" spans="1:7" ht="14.4">
      <c r="A2548" s="186">
        <v>2547</v>
      </c>
      <c r="B2548" s="186" t="s">
        <v>210</v>
      </c>
      <c r="C2548" s="186" t="s">
        <v>2875</v>
      </c>
      <c r="D2548" s="186">
        <v>513.1</v>
      </c>
      <c r="E2548" s="186">
        <v>8.7200000000000006</v>
      </c>
      <c r="F2548" s="186">
        <v>8.69</v>
      </c>
      <c r="G2548" s="186">
        <v>5.2940955470000004</v>
      </c>
    </row>
    <row r="2549" spans="1:7" ht="14.4">
      <c r="A2549" s="186">
        <v>2548</v>
      </c>
      <c r="B2549" s="186" t="s">
        <v>307</v>
      </c>
      <c r="C2549" s="186" t="s">
        <v>2876</v>
      </c>
      <c r="D2549" s="186">
        <v>194.3</v>
      </c>
      <c r="E2549" s="186">
        <v>8.98</v>
      </c>
      <c r="F2549" s="186">
        <v>8.69</v>
      </c>
      <c r="G2549" s="186">
        <v>5.2940955470000004</v>
      </c>
    </row>
    <row r="2550" spans="1:7" ht="14.4">
      <c r="A2550" s="186">
        <v>2549</v>
      </c>
      <c r="B2550" s="186" t="s">
        <v>801</v>
      </c>
      <c r="C2550" s="186" t="s">
        <v>2877</v>
      </c>
      <c r="D2550" s="187">
        <v>1257.7</v>
      </c>
      <c r="E2550" s="186">
        <v>8.9700000000000006</v>
      </c>
      <c r="F2550" s="186">
        <v>8.69</v>
      </c>
      <c r="G2550" s="186">
        <v>5.2940955470000004</v>
      </c>
    </row>
    <row r="2551" spans="1:7" ht="14.4">
      <c r="A2551" s="186">
        <v>2550</v>
      </c>
      <c r="B2551" s="186" t="s">
        <v>2307</v>
      </c>
      <c r="C2551" s="186" t="s">
        <v>2878</v>
      </c>
      <c r="D2551" s="186">
        <v>176.6</v>
      </c>
      <c r="E2551" s="186">
        <v>8.98</v>
      </c>
      <c r="F2551" s="186">
        <v>8.69</v>
      </c>
      <c r="G2551" s="186">
        <v>5.2940955470000004</v>
      </c>
    </row>
    <row r="2552" spans="1:7" ht="14.4">
      <c r="A2552" s="186">
        <v>2551</v>
      </c>
      <c r="B2552" s="186" t="s">
        <v>184</v>
      </c>
      <c r="C2552" s="186" t="s">
        <v>2879</v>
      </c>
      <c r="D2552" s="187">
        <v>3644</v>
      </c>
      <c r="E2552" s="186">
        <v>8.9</v>
      </c>
      <c r="F2552" s="186">
        <v>8.69</v>
      </c>
      <c r="G2552" s="186">
        <v>5.2940955470000004</v>
      </c>
    </row>
    <row r="2553" spans="1:7" ht="14.4">
      <c r="A2553" s="186">
        <v>2552</v>
      </c>
      <c r="B2553" s="186" t="s">
        <v>271</v>
      </c>
      <c r="C2553" s="186" t="s">
        <v>2880</v>
      </c>
      <c r="D2553" s="186">
        <v>0.3</v>
      </c>
      <c r="E2553" s="186">
        <v>8.5299999999999994</v>
      </c>
      <c r="F2553" s="186">
        <v>8.6999999999999993</v>
      </c>
      <c r="G2553" s="186">
        <v>5.3038457079999999</v>
      </c>
    </row>
    <row r="2554" spans="1:7" ht="14.4">
      <c r="A2554" s="186">
        <v>2553</v>
      </c>
      <c r="B2554" s="186" t="s">
        <v>178</v>
      </c>
      <c r="C2554" s="186" t="s">
        <v>2881</v>
      </c>
      <c r="D2554" s="186">
        <v>0.2</v>
      </c>
      <c r="E2554" s="186">
        <v>8.9600000000000009</v>
      </c>
      <c r="F2554" s="186">
        <v>8.6999999999999993</v>
      </c>
      <c r="G2554" s="186">
        <v>5.3038457079999999</v>
      </c>
    </row>
    <row r="2555" spans="1:7" ht="14.4">
      <c r="A2555" s="186">
        <v>2554</v>
      </c>
      <c r="B2555" s="186" t="s">
        <v>210</v>
      </c>
      <c r="C2555" s="186" t="s">
        <v>2882</v>
      </c>
      <c r="D2555" s="186">
        <v>115.8</v>
      </c>
      <c r="E2555" s="186">
        <v>8.99</v>
      </c>
      <c r="F2555" s="186">
        <v>8.6999999999999993</v>
      </c>
      <c r="G2555" s="186">
        <v>5.3038457079999999</v>
      </c>
    </row>
    <row r="2556" spans="1:7" ht="14.4">
      <c r="A2556" s="186">
        <v>2555</v>
      </c>
      <c r="B2556" s="186" t="s">
        <v>477</v>
      </c>
      <c r="C2556" s="186" t="s">
        <v>2883</v>
      </c>
      <c r="D2556" s="186">
        <v>7.5</v>
      </c>
      <c r="E2556" s="186">
        <v>8.9</v>
      </c>
      <c r="F2556" s="186">
        <v>8.6999999999999993</v>
      </c>
      <c r="G2556" s="186">
        <v>5.3038457079999999</v>
      </c>
    </row>
    <row r="2557" spans="1:7" ht="14.4">
      <c r="A2557" s="186">
        <v>2556</v>
      </c>
      <c r="B2557" s="186" t="s">
        <v>288</v>
      </c>
      <c r="C2557" s="186" t="s">
        <v>2884</v>
      </c>
      <c r="D2557" s="186">
        <v>321.39999999999998</v>
      </c>
      <c r="E2557" s="186">
        <v>8.4700000000000006</v>
      </c>
      <c r="F2557" s="186">
        <v>8.6999999999999993</v>
      </c>
      <c r="G2557" s="186">
        <v>5.3038457079999999</v>
      </c>
    </row>
    <row r="2558" spans="1:7" ht="14.4">
      <c r="A2558" s="186">
        <v>2557</v>
      </c>
      <c r="B2558" s="186" t="s">
        <v>348</v>
      </c>
      <c r="C2558" s="186" t="s">
        <v>2885</v>
      </c>
      <c r="D2558" s="186">
        <v>96.8</v>
      </c>
      <c r="E2558" s="186">
        <v>8.7200000000000006</v>
      </c>
      <c r="F2558" s="186">
        <v>8.6999999999999993</v>
      </c>
      <c r="G2558" s="186">
        <v>5.3038457079999999</v>
      </c>
    </row>
    <row r="2559" spans="1:7" ht="14.4">
      <c r="A2559" s="186">
        <v>2558</v>
      </c>
      <c r="B2559" s="186" t="s">
        <v>335</v>
      </c>
      <c r="C2559" s="186" t="s">
        <v>2886</v>
      </c>
      <c r="D2559" s="186">
        <v>906.7</v>
      </c>
      <c r="E2559" s="186">
        <v>8.93</v>
      </c>
      <c r="F2559" s="186">
        <v>8.6999999999999993</v>
      </c>
      <c r="G2559" s="186">
        <v>5.3038457079999999</v>
      </c>
    </row>
    <row r="2560" spans="1:7" ht="14.4">
      <c r="A2560" s="186">
        <v>2559</v>
      </c>
      <c r="B2560" s="186" t="s">
        <v>2307</v>
      </c>
      <c r="C2560" s="186" t="s">
        <v>2887</v>
      </c>
      <c r="D2560" s="186">
        <v>247.8</v>
      </c>
      <c r="E2560" s="186">
        <v>8.94</v>
      </c>
      <c r="F2560" s="186">
        <v>8.6999999999999993</v>
      </c>
      <c r="G2560" s="186">
        <v>5.3038457079999999</v>
      </c>
    </row>
    <row r="2561" spans="1:7" ht="14.4">
      <c r="A2561" s="186">
        <v>2560</v>
      </c>
      <c r="B2561" s="186" t="s">
        <v>280</v>
      </c>
      <c r="C2561" s="186" t="s">
        <v>2888</v>
      </c>
      <c r="D2561" s="186">
        <v>329.2</v>
      </c>
      <c r="E2561" s="186">
        <v>8.94</v>
      </c>
      <c r="F2561" s="186">
        <v>8.6999999999999993</v>
      </c>
      <c r="G2561" s="186">
        <v>5.3038457079999999</v>
      </c>
    </row>
    <row r="2562" spans="1:7" ht="14.4">
      <c r="A2562" s="186">
        <v>2561</v>
      </c>
      <c r="B2562" s="186" t="s">
        <v>1228</v>
      </c>
      <c r="C2562" s="186" t="s">
        <v>2889</v>
      </c>
      <c r="D2562" s="187">
        <v>1331.2</v>
      </c>
      <c r="E2562" s="186">
        <v>8.99</v>
      </c>
      <c r="F2562" s="186">
        <v>8.7100000000000009</v>
      </c>
      <c r="G2562" s="186">
        <v>5.3136129280000004</v>
      </c>
    </row>
    <row r="2563" spans="1:7" ht="14.4">
      <c r="A2563" s="186">
        <v>2562</v>
      </c>
      <c r="B2563" s="186" t="s">
        <v>1008</v>
      </c>
      <c r="C2563" s="186" t="s">
        <v>2890</v>
      </c>
      <c r="D2563" s="186">
        <v>0.1</v>
      </c>
      <c r="E2563" s="186">
        <v>9.0299999999999994</v>
      </c>
      <c r="F2563" s="186">
        <v>8.7100000000000009</v>
      </c>
      <c r="G2563" s="186">
        <v>5.3136129280000004</v>
      </c>
    </row>
    <row r="2564" spans="1:7" ht="14.4">
      <c r="A2564" s="186">
        <v>2563</v>
      </c>
      <c r="B2564" s="186" t="s">
        <v>178</v>
      </c>
      <c r="C2564" s="186" t="s">
        <v>2891</v>
      </c>
      <c r="D2564" s="186">
        <v>104.3</v>
      </c>
      <c r="E2564" s="186">
        <v>8.61</v>
      </c>
      <c r="F2564" s="186">
        <v>8.7100000000000009</v>
      </c>
      <c r="G2564" s="186">
        <v>5.3136129280000004</v>
      </c>
    </row>
    <row r="2565" spans="1:7" ht="14.4">
      <c r="A2565" s="186">
        <v>2564</v>
      </c>
      <c r="B2565" s="186" t="s">
        <v>252</v>
      </c>
      <c r="C2565" s="186" t="s">
        <v>2892</v>
      </c>
      <c r="D2565" s="186">
        <v>42.6</v>
      </c>
      <c r="E2565" s="186">
        <v>8.94</v>
      </c>
      <c r="F2565" s="186">
        <v>8.7100000000000009</v>
      </c>
      <c r="G2565" s="186">
        <v>5.3136129280000004</v>
      </c>
    </row>
    <row r="2566" spans="1:7" ht="14.4">
      <c r="A2566" s="186">
        <v>2565</v>
      </c>
      <c r="B2566" s="186" t="s">
        <v>373</v>
      </c>
      <c r="C2566" s="186" t="s">
        <v>2893</v>
      </c>
      <c r="D2566" s="186">
        <v>243.7</v>
      </c>
      <c r="E2566" s="186">
        <v>8.81</v>
      </c>
      <c r="F2566" s="186">
        <v>8.7100000000000009</v>
      </c>
      <c r="G2566" s="186">
        <v>5.3136129280000004</v>
      </c>
    </row>
    <row r="2567" spans="1:7" ht="14.4">
      <c r="A2567" s="186">
        <v>2566</v>
      </c>
      <c r="B2567" s="186" t="s">
        <v>1228</v>
      </c>
      <c r="C2567" s="186" t="s">
        <v>2894</v>
      </c>
      <c r="D2567" s="187">
        <v>1917.4</v>
      </c>
      <c r="E2567" s="186">
        <v>8.83</v>
      </c>
      <c r="F2567" s="186">
        <v>8.7200000000000006</v>
      </c>
      <c r="G2567" s="186">
        <v>5.3233972329999997</v>
      </c>
    </row>
    <row r="2568" spans="1:7" ht="14.4">
      <c r="A2568" s="186">
        <v>2567</v>
      </c>
      <c r="B2568" s="186" t="s">
        <v>1228</v>
      </c>
      <c r="C2568" s="186" t="s">
        <v>2895</v>
      </c>
      <c r="D2568" s="187">
        <v>1650.1</v>
      </c>
      <c r="E2568" s="186">
        <v>8.9700000000000006</v>
      </c>
      <c r="F2568" s="186">
        <v>8.7200000000000006</v>
      </c>
      <c r="G2568" s="186">
        <v>5.3233972329999997</v>
      </c>
    </row>
    <row r="2569" spans="1:7" ht="14.4">
      <c r="A2569" s="186">
        <v>2568</v>
      </c>
      <c r="B2569" s="186" t="s">
        <v>146</v>
      </c>
      <c r="C2569" s="944" t="s">
        <v>2896</v>
      </c>
      <c r="D2569" s="186">
        <v>756.2</v>
      </c>
      <c r="E2569" s="186" t="s">
        <v>152</v>
      </c>
      <c r="F2569" s="186">
        <v>8.7200000000000006</v>
      </c>
      <c r="G2569" s="186">
        <v>5.3233972329999997</v>
      </c>
    </row>
    <row r="2570" spans="1:7" ht="14.4">
      <c r="A2570" s="186">
        <v>2569</v>
      </c>
      <c r="B2570" s="186" t="s">
        <v>309</v>
      </c>
      <c r="C2570" s="186" t="s">
        <v>2897</v>
      </c>
      <c r="D2570" s="186">
        <v>284.60000000000002</v>
      </c>
      <c r="E2570" s="186" t="s">
        <v>152</v>
      </c>
      <c r="F2570" s="186">
        <v>8.7200000000000006</v>
      </c>
      <c r="G2570" s="186">
        <v>5.3233972329999997</v>
      </c>
    </row>
    <row r="2571" spans="1:7" ht="14.4">
      <c r="A2571" s="186">
        <v>2570</v>
      </c>
      <c r="B2571" s="186" t="s">
        <v>827</v>
      </c>
      <c r="C2571" s="186" t="s">
        <v>2898</v>
      </c>
      <c r="D2571" s="186">
        <v>379.9</v>
      </c>
      <c r="E2571" s="186">
        <v>9.02</v>
      </c>
      <c r="F2571" s="186">
        <v>8.7200000000000006</v>
      </c>
      <c r="G2571" s="186">
        <v>5.3233972329999997</v>
      </c>
    </row>
    <row r="2572" spans="1:7" ht="14.4">
      <c r="A2572" s="186">
        <v>2571</v>
      </c>
      <c r="B2572" s="186" t="s">
        <v>1228</v>
      </c>
      <c r="C2572" s="186" t="s">
        <v>2899</v>
      </c>
      <c r="D2572" s="187">
        <v>2154.6</v>
      </c>
      <c r="E2572" s="186">
        <v>9</v>
      </c>
      <c r="F2572" s="186">
        <v>8.73</v>
      </c>
      <c r="G2572" s="186">
        <v>5.3331986520000001</v>
      </c>
    </row>
    <row r="2573" spans="1:7" ht="14.4">
      <c r="A2573" s="186">
        <v>2572</v>
      </c>
      <c r="B2573" s="186" t="s">
        <v>1228</v>
      </c>
      <c r="C2573" s="186" t="s">
        <v>2900</v>
      </c>
      <c r="D2573" s="187">
        <v>3638.8</v>
      </c>
      <c r="E2573" s="186">
        <v>8.84</v>
      </c>
      <c r="F2573" s="186">
        <v>8.73</v>
      </c>
      <c r="G2573" s="186">
        <v>5.3331986520000001</v>
      </c>
    </row>
    <row r="2574" spans="1:7" ht="14.4">
      <c r="A2574" s="186">
        <v>2573</v>
      </c>
      <c r="B2574" s="186" t="s">
        <v>1228</v>
      </c>
      <c r="C2574" s="186" t="s">
        <v>2901</v>
      </c>
      <c r="D2574" s="187">
        <v>1975.1</v>
      </c>
      <c r="E2574" s="186">
        <v>9.01</v>
      </c>
      <c r="F2574" s="186">
        <v>8.73</v>
      </c>
      <c r="G2574" s="186">
        <v>5.3331986520000001</v>
      </c>
    </row>
    <row r="2575" spans="1:7" ht="14.4">
      <c r="A2575" s="186">
        <v>2574</v>
      </c>
      <c r="B2575" s="186" t="s">
        <v>178</v>
      </c>
      <c r="C2575" s="186" t="s">
        <v>2902</v>
      </c>
      <c r="D2575" s="187">
        <v>3703.4</v>
      </c>
      <c r="E2575" s="186">
        <v>8.6199999999999992</v>
      </c>
      <c r="F2575" s="186">
        <v>8.73</v>
      </c>
      <c r="G2575" s="186">
        <v>5.3331986520000001</v>
      </c>
    </row>
    <row r="2576" spans="1:7" ht="14.4">
      <c r="A2576" s="186">
        <v>2575</v>
      </c>
      <c r="B2576" s="186" t="s">
        <v>178</v>
      </c>
      <c r="C2576" s="186" t="s">
        <v>2903</v>
      </c>
      <c r="D2576" s="186">
        <v>871</v>
      </c>
      <c r="E2576" s="186">
        <v>9.27</v>
      </c>
      <c r="F2576" s="186">
        <v>8.73</v>
      </c>
      <c r="G2576" s="186">
        <v>5.3331986520000001</v>
      </c>
    </row>
    <row r="2577" spans="1:7" ht="14.4">
      <c r="A2577" s="186">
        <v>2576</v>
      </c>
      <c r="B2577" s="186" t="s">
        <v>553</v>
      </c>
      <c r="C2577" s="186" t="s">
        <v>2904</v>
      </c>
      <c r="D2577" s="186">
        <v>13.4</v>
      </c>
      <c r="E2577" s="186">
        <v>8.93</v>
      </c>
      <c r="F2577" s="186">
        <v>8.73</v>
      </c>
      <c r="G2577" s="186">
        <v>5.3331986520000001</v>
      </c>
    </row>
    <row r="2578" spans="1:7" ht="14.4">
      <c r="A2578" s="186">
        <v>2577</v>
      </c>
      <c r="B2578" s="186" t="s">
        <v>271</v>
      </c>
      <c r="C2578" s="186" t="s">
        <v>2905</v>
      </c>
      <c r="D2578" s="186">
        <v>132.6</v>
      </c>
      <c r="E2578" s="186">
        <v>8.58</v>
      </c>
      <c r="F2578" s="186">
        <v>8.74</v>
      </c>
      <c r="G2578" s="186">
        <v>5.3430172130000004</v>
      </c>
    </row>
    <row r="2579" spans="1:7" ht="14.4">
      <c r="A2579" s="186">
        <v>2578</v>
      </c>
      <c r="B2579" s="186" t="s">
        <v>178</v>
      </c>
      <c r="C2579" s="186" t="s">
        <v>2906</v>
      </c>
      <c r="D2579" s="186">
        <v>441.8</v>
      </c>
      <c r="E2579" s="186">
        <v>8.6300000000000008</v>
      </c>
      <c r="F2579" s="186">
        <v>8.74</v>
      </c>
      <c r="G2579" s="186">
        <v>5.3430172130000004</v>
      </c>
    </row>
    <row r="2580" spans="1:7" ht="14.4">
      <c r="A2580" s="186">
        <v>2579</v>
      </c>
      <c r="B2580" s="186" t="s">
        <v>263</v>
      </c>
      <c r="C2580" s="186" t="s">
        <v>2907</v>
      </c>
      <c r="D2580" s="186">
        <v>96.2</v>
      </c>
      <c r="E2580" s="186">
        <v>8.74</v>
      </c>
      <c r="F2580" s="186">
        <v>8.74</v>
      </c>
      <c r="G2580" s="186">
        <v>5.3430172130000004</v>
      </c>
    </row>
    <row r="2581" spans="1:7" ht="14.4">
      <c r="A2581" s="186">
        <v>2580</v>
      </c>
      <c r="B2581" s="186" t="s">
        <v>553</v>
      </c>
      <c r="C2581" s="186" t="s">
        <v>2908</v>
      </c>
      <c r="D2581" s="186">
        <v>575.5</v>
      </c>
      <c r="E2581" s="186">
        <v>8.7100000000000009</v>
      </c>
      <c r="F2581" s="186">
        <v>8.74</v>
      </c>
      <c r="G2581" s="186">
        <v>5.3430172130000004</v>
      </c>
    </row>
    <row r="2582" spans="1:7" ht="14.4">
      <c r="A2582" s="186">
        <v>2581</v>
      </c>
      <c r="B2582" s="186" t="s">
        <v>2384</v>
      </c>
      <c r="C2582" s="186" t="s">
        <v>2909</v>
      </c>
      <c r="D2582" s="186">
        <v>411</v>
      </c>
      <c r="E2582" s="186">
        <v>8.85</v>
      </c>
      <c r="F2582" s="186">
        <v>8.74</v>
      </c>
      <c r="G2582" s="186">
        <v>5.3430172130000004</v>
      </c>
    </row>
    <row r="2583" spans="1:7" ht="14.4">
      <c r="A2583" s="186">
        <v>2582</v>
      </c>
      <c r="B2583" s="186" t="s">
        <v>234</v>
      </c>
      <c r="C2583" s="186" t="s">
        <v>2910</v>
      </c>
      <c r="D2583" s="186">
        <v>811.8</v>
      </c>
      <c r="E2583" s="186">
        <v>9.17</v>
      </c>
      <c r="F2583" s="186">
        <v>8.75</v>
      </c>
      <c r="G2583" s="186">
        <v>5.3528529450000004</v>
      </c>
    </row>
    <row r="2584" spans="1:7" ht="14.4">
      <c r="A2584" s="186">
        <v>2583</v>
      </c>
      <c r="B2584" s="186" t="s">
        <v>178</v>
      </c>
      <c r="C2584" s="186" t="s">
        <v>2911</v>
      </c>
      <c r="D2584" s="186">
        <v>255.9</v>
      </c>
      <c r="E2584" s="186">
        <v>8.64</v>
      </c>
      <c r="F2584" s="186">
        <v>8.75</v>
      </c>
      <c r="G2584" s="186">
        <v>5.3528529450000004</v>
      </c>
    </row>
    <row r="2585" spans="1:7" ht="14.4">
      <c r="A2585" s="186">
        <v>2584</v>
      </c>
      <c r="B2585" s="186" t="s">
        <v>477</v>
      </c>
      <c r="C2585" s="186" t="s">
        <v>2912</v>
      </c>
      <c r="D2585" s="186">
        <v>31.9</v>
      </c>
      <c r="E2585" s="186">
        <v>8.9499999999999993</v>
      </c>
      <c r="F2585" s="186">
        <v>8.75</v>
      </c>
      <c r="G2585" s="186">
        <v>5.3528529450000004</v>
      </c>
    </row>
    <row r="2586" spans="1:7" ht="14.4">
      <c r="A2586" s="186">
        <v>2585</v>
      </c>
      <c r="B2586" s="186" t="s">
        <v>2913</v>
      </c>
      <c r="C2586" s="186" t="s">
        <v>2914</v>
      </c>
      <c r="D2586" s="186">
        <v>226.8</v>
      </c>
      <c r="E2586" s="186">
        <v>9.08</v>
      </c>
      <c r="F2586" s="186">
        <v>8.75</v>
      </c>
      <c r="G2586" s="186">
        <v>5.3528529450000004</v>
      </c>
    </row>
    <row r="2587" spans="1:7" ht="14.4">
      <c r="A2587" s="186">
        <v>2586</v>
      </c>
      <c r="B2587" s="186" t="s">
        <v>178</v>
      </c>
      <c r="C2587" s="186" t="s">
        <v>2915</v>
      </c>
      <c r="D2587" s="186">
        <v>499.9</v>
      </c>
      <c r="E2587" s="186">
        <v>9.02</v>
      </c>
      <c r="F2587" s="186">
        <v>8.76</v>
      </c>
      <c r="G2587" s="186">
        <v>5.3627058769999998</v>
      </c>
    </row>
    <row r="2588" spans="1:7" ht="14.4">
      <c r="A2588" s="186">
        <v>2587</v>
      </c>
      <c r="B2588" s="186" t="s">
        <v>178</v>
      </c>
      <c r="C2588" s="186" t="s">
        <v>2916</v>
      </c>
      <c r="D2588" s="186">
        <v>4.8</v>
      </c>
      <c r="E2588" s="186">
        <v>8.9600000000000009</v>
      </c>
      <c r="F2588" s="186">
        <v>8.76</v>
      </c>
      <c r="G2588" s="186">
        <v>5.3627058769999998</v>
      </c>
    </row>
    <row r="2589" spans="1:7" ht="14.4">
      <c r="A2589" s="186">
        <v>2588</v>
      </c>
      <c r="B2589" s="186" t="s">
        <v>938</v>
      </c>
      <c r="C2589" s="186" t="s">
        <v>2917</v>
      </c>
      <c r="D2589" s="186">
        <v>154.9</v>
      </c>
      <c r="E2589" s="186">
        <v>8.73</v>
      </c>
      <c r="F2589" s="186">
        <v>8.76</v>
      </c>
      <c r="G2589" s="186">
        <v>5.3627058769999998</v>
      </c>
    </row>
    <row r="2590" spans="1:7" ht="14.4">
      <c r="A2590" s="186">
        <v>2589</v>
      </c>
      <c r="B2590" s="186" t="s">
        <v>263</v>
      </c>
      <c r="C2590" s="186" t="s">
        <v>2918</v>
      </c>
      <c r="D2590" s="187">
        <v>10066.6</v>
      </c>
      <c r="E2590" s="186">
        <v>8.59</v>
      </c>
      <c r="F2590" s="186">
        <v>8.76</v>
      </c>
      <c r="G2590" s="186">
        <v>5.3627058769999998</v>
      </c>
    </row>
    <row r="2591" spans="1:7" ht="14.4">
      <c r="A2591" s="186">
        <v>2590</v>
      </c>
      <c r="B2591" s="186" t="s">
        <v>158</v>
      </c>
      <c r="C2591" s="186" t="s">
        <v>2919</v>
      </c>
      <c r="D2591" s="186">
        <v>197.1</v>
      </c>
      <c r="E2591" s="186">
        <v>8.58</v>
      </c>
      <c r="F2591" s="186">
        <v>8.76</v>
      </c>
      <c r="G2591" s="186">
        <v>5.3627058769999998</v>
      </c>
    </row>
    <row r="2592" spans="1:7" ht="14.4">
      <c r="A2592" s="186">
        <v>2591</v>
      </c>
      <c r="B2592" s="186" t="s">
        <v>1228</v>
      </c>
      <c r="C2592" s="186" t="s">
        <v>2920</v>
      </c>
      <c r="D2592" s="187">
        <v>4840.8</v>
      </c>
      <c r="E2592" s="186">
        <v>9.02</v>
      </c>
      <c r="F2592" s="186">
        <v>8.77</v>
      </c>
      <c r="G2592" s="186">
        <v>5.372576037</v>
      </c>
    </row>
    <row r="2593" spans="1:7" ht="14.4">
      <c r="A2593" s="186">
        <v>2592</v>
      </c>
      <c r="B2593" s="186" t="s">
        <v>553</v>
      </c>
      <c r="C2593" s="186" t="s">
        <v>2921</v>
      </c>
      <c r="D2593" s="186">
        <v>672.4</v>
      </c>
      <c r="E2593" s="186">
        <v>8.41</v>
      </c>
      <c r="F2593" s="186">
        <v>8.77</v>
      </c>
      <c r="G2593" s="186">
        <v>5.372576037</v>
      </c>
    </row>
    <row r="2594" spans="1:7" ht="14.4">
      <c r="A2594" s="186">
        <v>2593</v>
      </c>
      <c r="B2594" s="186" t="s">
        <v>415</v>
      </c>
      <c r="C2594" s="186" t="s">
        <v>2922</v>
      </c>
      <c r="D2594" s="186">
        <v>105.9</v>
      </c>
      <c r="E2594" s="186">
        <v>8.99</v>
      </c>
      <c r="F2594" s="186">
        <v>8.77</v>
      </c>
      <c r="G2594" s="186">
        <v>5.372576037</v>
      </c>
    </row>
    <row r="2595" spans="1:7" ht="14.4">
      <c r="A2595" s="186">
        <v>2594</v>
      </c>
      <c r="B2595" s="186" t="s">
        <v>1228</v>
      </c>
      <c r="C2595" s="186" t="s">
        <v>2923</v>
      </c>
      <c r="D2595" s="186">
        <v>94.8</v>
      </c>
      <c r="E2595" s="186">
        <v>8.8699999999999992</v>
      </c>
      <c r="F2595" s="186">
        <v>8.7799999999999994</v>
      </c>
      <c r="G2595" s="186">
        <v>5.3824634519999996</v>
      </c>
    </row>
    <row r="2596" spans="1:7" ht="14.4">
      <c r="A2596" s="186">
        <v>2595</v>
      </c>
      <c r="B2596" s="186" t="s">
        <v>1228</v>
      </c>
      <c r="C2596" s="186" t="s">
        <v>2924</v>
      </c>
      <c r="D2596" s="187">
        <v>40186.5</v>
      </c>
      <c r="E2596" s="186">
        <v>8.56</v>
      </c>
      <c r="F2596" s="186">
        <v>8.7799999999999994</v>
      </c>
      <c r="G2596" s="186">
        <v>5.3824634519999996</v>
      </c>
    </row>
    <row r="2597" spans="1:7" ht="14.4">
      <c r="A2597" s="186">
        <v>2596</v>
      </c>
      <c r="B2597" s="186" t="s">
        <v>2925</v>
      </c>
      <c r="C2597" s="186" t="s">
        <v>2926</v>
      </c>
      <c r="D2597" s="186">
        <v>72.599999999999994</v>
      </c>
      <c r="E2597" s="186">
        <v>9</v>
      </c>
      <c r="F2597" s="186">
        <v>8.7799999999999994</v>
      </c>
      <c r="G2597" s="186">
        <v>5.3824634519999996</v>
      </c>
    </row>
    <row r="2598" spans="1:7" ht="14.4">
      <c r="A2598" s="186">
        <v>2597</v>
      </c>
      <c r="B2598" s="186" t="s">
        <v>252</v>
      </c>
      <c r="C2598" s="186" t="s">
        <v>2927</v>
      </c>
      <c r="D2598" s="186">
        <v>148.6</v>
      </c>
      <c r="E2598" s="186">
        <v>8.8699999999999992</v>
      </c>
      <c r="F2598" s="186">
        <v>8.7799999999999994</v>
      </c>
      <c r="G2598" s="186">
        <v>5.3824634519999996</v>
      </c>
    </row>
    <row r="2599" spans="1:7" ht="14.4">
      <c r="A2599" s="186">
        <v>2598</v>
      </c>
      <c r="B2599" s="186" t="s">
        <v>373</v>
      </c>
      <c r="C2599" s="186" t="s">
        <v>2928</v>
      </c>
      <c r="D2599" s="186">
        <v>302.60000000000002</v>
      </c>
      <c r="E2599" s="186">
        <v>9.1</v>
      </c>
      <c r="F2599" s="186">
        <v>8.7799999999999994</v>
      </c>
      <c r="G2599" s="186">
        <v>5.3824634519999996</v>
      </c>
    </row>
    <row r="2600" spans="1:7" ht="14.4">
      <c r="A2600" s="186">
        <v>2599</v>
      </c>
      <c r="B2600" s="186" t="s">
        <v>133</v>
      </c>
      <c r="C2600" s="186" t="s">
        <v>2929</v>
      </c>
      <c r="D2600" s="186">
        <v>44.1</v>
      </c>
      <c r="E2600" s="186">
        <v>9.32</v>
      </c>
      <c r="F2600" s="186">
        <v>8.7799999999999994</v>
      </c>
      <c r="G2600" s="186">
        <v>5.3824634519999996</v>
      </c>
    </row>
    <row r="2601" spans="1:7" ht="14.4">
      <c r="A2601" s="186">
        <v>2600</v>
      </c>
      <c r="B2601" s="186" t="s">
        <v>280</v>
      </c>
      <c r="C2601" s="186" t="s">
        <v>2930</v>
      </c>
      <c r="D2601" s="186">
        <v>1.6</v>
      </c>
      <c r="E2601" s="186">
        <v>9.25</v>
      </c>
      <c r="F2601" s="186">
        <v>8.7799999999999994</v>
      </c>
      <c r="G2601" s="186">
        <v>5.3824634519999996</v>
      </c>
    </row>
    <row r="2602" spans="1:7" ht="14.4">
      <c r="A2602" s="186">
        <v>2601</v>
      </c>
      <c r="B2602" s="186" t="s">
        <v>1228</v>
      </c>
      <c r="C2602" s="186" t="s">
        <v>2931</v>
      </c>
      <c r="D2602" s="186">
        <v>428.3</v>
      </c>
      <c r="E2602" s="186">
        <v>9.0500000000000007</v>
      </c>
      <c r="F2602" s="186">
        <v>8.7899999999999991</v>
      </c>
      <c r="G2602" s="186">
        <v>5.3923681529999996</v>
      </c>
    </row>
    <row r="2603" spans="1:7" ht="14.4">
      <c r="A2603" s="186">
        <v>2602</v>
      </c>
      <c r="B2603" s="186" t="s">
        <v>1228</v>
      </c>
      <c r="C2603" s="186" t="s">
        <v>2932</v>
      </c>
      <c r="D2603" s="187">
        <v>2052.6</v>
      </c>
      <c r="E2603" s="186">
        <v>8.89</v>
      </c>
      <c r="F2603" s="186">
        <v>8.7899999999999991</v>
      </c>
      <c r="G2603" s="186">
        <v>5.3923681529999996</v>
      </c>
    </row>
    <row r="2604" spans="1:7" ht="14.4">
      <c r="A2604" s="186">
        <v>2603</v>
      </c>
      <c r="B2604" s="186" t="s">
        <v>1228</v>
      </c>
      <c r="C2604" s="186" t="s">
        <v>2933</v>
      </c>
      <c r="D2604" s="186">
        <v>1.3</v>
      </c>
      <c r="E2604" s="186">
        <v>8.8800000000000008</v>
      </c>
      <c r="F2604" s="186">
        <v>8.7899999999999991</v>
      </c>
      <c r="G2604" s="186">
        <v>5.3923681529999996</v>
      </c>
    </row>
    <row r="2605" spans="1:7" ht="14.4">
      <c r="A2605" s="186">
        <v>2604</v>
      </c>
      <c r="B2605" s="186" t="s">
        <v>271</v>
      </c>
      <c r="C2605" s="186" t="s">
        <v>2934</v>
      </c>
      <c r="D2605" s="186">
        <v>216.9</v>
      </c>
      <c r="E2605" s="186">
        <v>8.7200000000000006</v>
      </c>
      <c r="F2605" s="186">
        <v>8.7899999999999991</v>
      </c>
      <c r="G2605" s="186">
        <v>5.3923681529999996</v>
      </c>
    </row>
    <row r="2606" spans="1:7" ht="14.4">
      <c r="A2606" s="186">
        <v>2605</v>
      </c>
      <c r="B2606" s="186" t="s">
        <v>178</v>
      </c>
      <c r="C2606" s="186" t="s">
        <v>2935</v>
      </c>
      <c r="D2606" s="186">
        <v>260.7</v>
      </c>
      <c r="E2606" s="186">
        <v>9.02</v>
      </c>
      <c r="F2606" s="186">
        <v>8.7899999999999991</v>
      </c>
      <c r="G2606" s="186">
        <v>5.3923681529999996</v>
      </c>
    </row>
    <row r="2607" spans="1:7" ht="14.4">
      <c r="A2607" s="186">
        <v>2606</v>
      </c>
      <c r="B2607" s="186" t="s">
        <v>175</v>
      </c>
      <c r="C2607" s="186" t="s">
        <v>2936</v>
      </c>
      <c r="D2607" s="186">
        <v>436.3</v>
      </c>
      <c r="E2607" s="186">
        <v>8.9</v>
      </c>
      <c r="F2607" s="186">
        <v>8.7899999999999991</v>
      </c>
      <c r="G2607" s="186">
        <v>5.3923681529999996</v>
      </c>
    </row>
    <row r="2608" spans="1:7" ht="14.4">
      <c r="A2608" s="186">
        <v>2607</v>
      </c>
      <c r="B2608" s="186" t="s">
        <v>834</v>
      </c>
      <c r="C2608" s="186" t="s">
        <v>2937</v>
      </c>
      <c r="D2608" s="186">
        <v>5.3</v>
      </c>
      <c r="E2608" s="186">
        <v>9.07</v>
      </c>
      <c r="F2608" s="186">
        <v>8.7899999999999991</v>
      </c>
      <c r="G2608" s="186">
        <v>5.3923681529999996</v>
      </c>
    </row>
    <row r="2609" spans="1:7" ht="14.4">
      <c r="A2609" s="186">
        <v>2608</v>
      </c>
      <c r="B2609" s="186" t="s">
        <v>340</v>
      </c>
      <c r="C2609" s="186" t="s">
        <v>2938</v>
      </c>
      <c r="D2609" s="186">
        <v>638.1</v>
      </c>
      <c r="E2609" s="186">
        <v>9.14</v>
      </c>
      <c r="F2609" s="186">
        <v>8.7899999999999991</v>
      </c>
      <c r="G2609" s="186">
        <v>5.3923681529999996</v>
      </c>
    </row>
    <row r="2610" spans="1:7" ht="14.4">
      <c r="A2610" s="186">
        <v>2609</v>
      </c>
      <c r="B2610" s="186" t="s">
        <v>1228</v>
      </c>
      <c r="C2610" s="186" t="s">
        <v>2939</v>
      </c>
      <c r="D2610" s="186">
        <v>101.3</v>
      </c>
      <c r="E2610" s="186">
        <v>9.08</v>
      </c>
      <c r="F2610" s="186">
        <v>8.8000000000000007</v>
      </c>
      <c r="G2610" s="186">
        <v>5.4022901670000003</v>
      </c>
    </row>
    <row r="2611" spans="1:7" ht="14.4">
      <c r="A2611" s="186">
        <v>2610</v>
      </c>
      <c r="B2611" s="186" t="s">
        <v>178</v>
      </c>
      <c r="C2611" s="186" t="s">
        <v>2940</v>
      </c>
      <c r="D2611" s="186">
        <v>0.6</v>
      </c>
      <c r="E2611" s="186">
        <v>9.16</v>
      </c>
      <c r="F2611" s="186">
        <v>8.8000000000000007</v>
      </c>
      <c r="G2611" s="186">
        <v>5.4022901670000003</v>
      </c>
    </row>
    <row r="2612" spans="1:7" ht="14.4">
      <c r="A2612" s="186">
        <v>2611</v>
      </c>
      <c r="B2612" s="186" t="s">
        <v>178</v>
      </c>
      <c r="C2612" s="186" t="s">
        <v>2941</v>
      </c>
      <c r="D2612" s="186">
        <v>46.4</v>
      </c>
      <c r="E2612" s="186">
        <v>9.16</v>
      </c>
      <c r="F2612" s="186">
        <v>8.8000000000000007</v>
      </c>
      <c r="G2612" s="186">
        <v>5.4022901670000003</v>
      </c>
    </row>
    <row r="2613" spans="1:7" ht="14.4">
      <c r="A2613" s="186">
        <v>2612</v>
      </c>
      <c r="B2613" s="186" t="s">
        <v>178</v>
      </c>
      <c r="C2613" s="186" t="s">
        <v>2942</v>
      </c>
      <c r="D2613" s="186">
        <v>10.6</v>
      </c>
      <c r="E2613" s="186">
        <v>8.99</v>
      </c>
      <c r="F2613" s="186">
        <v>8.8000000000000007</v>
      </c>
      <c r="G2613" s="186">
        <v>5.4022901670000003</v>
      </c>
    </row>
    <row r="2614" spans="1:7" ht="14.4">
      <c r="A2614" s="186">
        <v>2613</v>
      </c>
      <c r="B2614" s="186" t="s">
        <v>422</v>
      </c>
      <c r="C2614" s="186" t="s">
        <v>2943</v>
      </c>
      <c r="D2614" s="187">
        <v>3550.3</v>
      </c>
      <c r="E2614" s="186">
        <v>9.01</v>
      </c>
      <c r="F2614" s="186">
        <v>8.8000000000000007</v>
      </c>
      <c r="G2614" s="186">
        <v>5.4022901670000003</v>
      </c>
    </row>
    <row r="2615" spans="1:7" ht="14.4">
      <c r="A2615" s="186">
        <v>2614</v>
      </c>
      <c r="B2615" s="186" t="s">
        <v>175</v>
      </c>
      <c r="C2615" s="186" t="s">
        <v>2944</v>
      </c>
      <c r="D2615" s="186">
        <v>71.3</v>
      </c>
      <c r="E2615" s="186">
        <v>8.9</v>
      </c>
      <c r="F2615" s="186">
        <v>8.8000000000000007</v>
      </c>
      <c r="G2615" s="186">
        <v>5.4022901670000003</v>
      </c>
    </row>
    <row r="2616" spans="1:7" ht="14.4">
      <c r="A2616" s="186">
        <v>2615</v>
      </c>
      <c r="B2616" s="186" t="s">
        <v>138</v>
      </c>
      <c r="C2616" s="186" t="s">
        <v>2945</v>
      </c>
      <c r="D2616" s="186">
        <v>209.2</v>
      </c>
      <c r="E2616" s="186">
        <v>9.1300000000000008</v>
      </c>
      <c r="F2616" s="186">
        <v>8.81</v>
      </c>
      <c r="G2616" s="186">
        <v>5.4122295229999997</v>
      </c>
    </row>
    <row r="2617" spans="1:7" ht="14.4">
      <c r="A2617" s="186">
        <v>2616</v>
      </c>
      <c r="B2617" s="186" t="s">
        <v>1228</v>
      </c>
      <c r="C2617" s="186" t="s">
        <v>2946</v>
      </c>
      <c r="D2617" s="187">
        <v>27854.6</v>
      </c>
      <c r="E2617" s="186">
        <v>8.77</v>
      </c>
      <c r="F2617" s="186">
        <v>8.81</v>
      </c>
      <c r="G2617" s="186">
        <v>5.4122295229999997</v>
      </c>
    </row>
    <row r="2618" spans="1:7" ht="14.4">
      <c r="A2618" s="186">
        <v>2617</v>
      </c>
      <c r="B2618" s="186" t="s">
        <v>1228</v>
      </c>
      <c r="C2618" s="186" t="s">
        <v>2947</v>
      </c>
      <c r="D2618" s="186">
        <v>141.4</v>
      </c>
      <c r="E2618" s="186">
        <v>8.92</v>
      </c>
      <c r="F2618" s="186">
        <v>8.81</v>
      </c>
      <c r="G2618" s="186">
        <v>5.4122295229999997</v>
      </c>
    </row>
    <row r="2619" spans="1:7" ht="14.4">
      <c r="A2619" s="186">
        <v>2618</v>
      </c>
      <c r="B2619" s="186" t="s">
        <v>422</v>
      </c>
      <c r="C2619" s="186" t="s">
        <v>2948</v>
      </c>
      <c r="D2619" s="187">
        <v>1307.9000000000001</v>
      </c>
      <c r="E2619" s="186">
        <v>8.7200000000000006</v>
      </c>
      <c r="F2619" s="186">
        <v>8.81</v>
      </c>
      <c r="G2619" s="186">
        <v>5.4122295229999997</v>
      </c>
    </row>
    <row r="2620" spans="1:7" ht="14.4">
      <c r="A2620" s="186">
        <v>2619</v>
      </c>
      <c r="B2620" s="186" t="s">
        <v>2030</v>
      </c>
      <c r="C2620" s="186" t="s">
        <v>2949</v>
      </c>
      <c r="D2620" s="186">
        <v>73.8</v>
      </c>
      <c r="E2620" s="186">
        <v>8.5299999999999994</v>
      </c>
      <c r="F2620" s="186">
        <v>8.81</v>
      </c>
      <c r="G2620" s="186">
        <v>5.4122295229999997</v>
      </c>
    </row>
    <row r="2621" spans="1:7" ht="14.4">
      <c r="A2621" s="186">
        <v>2620</v>
      </c>
      <c r="B2621" s="186" t="s">
        <v>138</v>
      </c>
      <c r="C2621" s="186" t="s">
        <v>2950</v>
      </c>
      <c r="D2621" s="186">
        <v>479.2</v>
      </c>
      <c r="E2621" s="186">
        <v>8.65</v>
      </c>
      <c r="F2621" s="186">
        <v>8.82</v>
      </c>
      <c r="G2621" s="186">
        <v>5.4221862510000003</v>
      </c>
    </row>
    <row r="2622" spans="1:7" ht="14.4">
      <c r="A2622" s="186">
        <v>2621</v>
      </c>
      <c r="B2622" s="186" t="s">
        <v>1228</v>
      </c>
      <c r="C2622" s="186" t="s">
        <v>2951</v>
      </c>
      <c r="D2622" s="187">
        <v>2032.9</v>
      </c>
      <c r="E2622" s="186">
        <v>9.1</v>
      </c>
      <c r="F2622" s="186">
        <v>8.82</v>
      </c>
      <c r="G2622" s="186">
        <v>5.4221862510000003</v>
      </c>
    </row>
    <row r="2623" spans="1:7" ht="14.4">
      <c r="A2623" s="186">
        <v>2622</v>
      </c>
      <c r="B2623" s="186" t="s">
        <v>1228</v>
      </c>
      <c r="C2623" s="186" t="s">
        <v>2952</v>
      </c>
      <c r="D2623" s="187">
        <v>55378.9</v>
      </c>
      <c r="E2623" s="186">
        <v>8.6</v>
      </c>
      <c r="F2623" s="186">
        <v>8.82</v>
      </c>
      <c r="G2623" s="186">
        <v>5.4221862510000003</v>
      </c>
    </row>
    <row r="2624" spans="1:7" ht="14.4">
      <c r="A2624" s="186">
        <v>2623</v>
      </c>
      <c r="B2624" s="186" t="s">
        <v>1228</v>
      </c>
      <c r="C2624" s="186" t="s">
        <v>2953</v>
      </c>
      <c r="D2624" s="187">
        <v>2172.8000000000002</v>
      </c>
      <c r="E2624" s="186">
        <v>9.08</v>
      </c>
      <c r="F2624" s="186">
        <v>8.82</v>
      </c>
      <c r="G2624" s="186">
        <v>5.4221862510000003</v>
      </c>
    </row>
    <row r="2625" spans="1:7" ht="14.4">
      <c r="A2625" s="186">
        <v>2624</v>
      </c>
      <c r="B2625" s="186" t="s">
        <v>178</v>
      </c>
      <c r="C2625" s="186" t="s">
        <v>2954</v>
      </c>
      <c r="D2625" s="186">
        <v>685.4</v>
      </c>
      <c r="E2625" s="186">
        <v>8.94</v>
      </c>
      <c r="F2625" s="186">
        <v>8.82</v>
      </c>
      <c r="G2625" s="186">
        <v>5.4221862510000003</v>
      </c>
    </row>
    <row r="2626" spans="1:7" ht="14.4">
      <c r="A2626" s="186">
        <v>2625</v>
      </c>
      <c r="B2626" s="186" t="s">
        <v>2610</v>
      </c>
      <c r="C2626" s="186" t="s">
        <v>2955</v>
      </c>
      <c r="D2626" s="186">
        <v>673.4</v>
      </c>
      <c r="E2626" s="186">
        <v>9.2200000000000006</v>
      </c>
      <c r="F2626" s="186">
        <v>8.82</v>
      </c>
      <c r="G2626" s="186">
        <v>5.4221862510000003</v>
      </c>
    </row>
    <row r="2627" spans="1:7" ht="14.4">
      <c r="A2627" s="186">
        <v>2626</v>
      </c>
      <c r="B2627" s="186" t="s">
        <v>422</v>
      </c>
      <c r="C2627" s="186" t="s">
        <v>2956</v>
      </c>
      <c r="D2627" s="186">
        <v>175.1</v>
      </c>
      <c r="E2627" s="186">
        <v>9.0299999999999994</v>
      </c>
      <c r="F2627" s="186">
        <v>8.82</v>
      </c>
      <c r="G2627" s="186">
        <v>5.4221862510000003</v>
      </c>
    </row>
    <row r="2628" spans="1:7" ht="14.4">
      <c r="A2628" s="186">
        <v>2627</v>
      </c>
      <c r="B2628" s="186" t="s">
        <v>365</v>
      </c>
      <c r="C2628" s="186" t="s">
        <v>2957</v>
      </c>
      <c r="D2628" s="187">
        <v>1889.6</v>
      </c>
      <c r="E2628" s="186">
        <v>9.18</v>
      </c>
      <c r="F2628" s="186">
        <v>8.82</v>
      </c>
      <c r="G2628" s="186">
        <v>5.4221862510000003</v>
      </c>
    </row>
    <row r="2629" spans="1:7" ht="14.4">
      <c r="A2629" s="186">
        <v>2628</v>
      </c>
      <c r="B2629" s="186" t="s">
        <v>1228</v>
      </c>
      <c r="C2629" s="186" t="s">
        <v>2958</v>
      </c>
      <c r="D2629" s="186">
        <v>0.7</v>
      </c>
      <c r="E2629" s="186">
        <v>9.1</v>
      </c>
      <c r="F2629" s="186">
        <v>8.83</v>
      </c>
      <c r="G2629" s="186">
        <v>5.4321603779999998</v>
      </c>
    </row>
    <row r="2630" spans="1:7" ht="14.4">
      <c r="A2630" s="186">
        <v>2629</v>
      </c>
      <c r="B2630" s="186" t="s">
        <v>1228</v>
      </c>
      <c r="C2630" s="186" t="s">
        <v>2959</v>
      </c>
      <c r="D2630" s="187">
        <v>2059.6999999999998</v>
      </c>
      <c r="E2630" s="186">
        <v>8.93</v>
      </c>
      <c r="F2630" s="186">
        <v>8.83</v>
      </c>
      <c r="G2630" s="186">
        <v>5.4321603779999998</v>
      </c>
    </row>
    <row r="2631" spans="1:7" ht="14.4">
      <c r="A2631" s="186">
        <v>2630</v>
      </c>
      <c r="B2631" s="186" t="s">
        <v>1228</v>
      </c>
      <c r="C2631" s="186" t="s">
        <v>2960</v>
      </c>
      <c r="D2631" s="186">
        <v>11.2</v>
      </c>
      <c r="E2631" s="186">
        <v>8.94</v>
      </c>
      <c r="F2631" s="186">
        <v>8.83</v>
      </c>
      <c r="G2631" s="186">
        <v>5.4321603779999998</v>
      </c>
    </row>
    <row r="2632" spans="1:7" ht="14.4">
      <c r="A2632" s="186">
        <v>2631</v>
      </c>
      <c r="B2632" s="186" t="s">
        <v>271</v>
      </c>
      <c r="C2632" s="186" t="s">
        <v>2961</v>
      </c>
      <c r="D2632" s="186">
        <v>224.8</v>
      </c>
      <c r="E2632" s="186">
        <v>9.2200000000000006</v>
      </c>
      <c r="F2632" s="186">
        <v>8.83</v>
      </c>
      <c r="G2632" s="186">
        <v>5.4321603779999998</v>
      </c>
    </row>
    <row r="2633" spans="1:7" ht="14.4">
      <c r="A2633" s="186">
        <v>2632</v>
      </c>
      <c r="B2633" s="186" t="s">
        <v>194</v>
      </c>
      <c r="C2633" s="186" t="s">
        <v>2962</v>
      </c>
      <c r="D2633" s="186">
        <v>24.6</v>
      </c>
      <c r="E2633" s="186">
        <v>8.73</v>
      </c>
      <c r="F2633" s="186">
        <v>8.83</v>
      </c>
      <c r="G2633" s="186">
        <v>5.4321603779999998</v>
      </c>
    </row>
    <row r="2634" spans="1:7" ht="14.4">
      <c r="A2634" s="186">
        <v>2633</v>
      </c>
      <c r="B2634" s="186" t="s">
        <v>178</v>
      </c>
      <c r="C2634" s="186" t="s">
        <v>2963</v>
      </c>
      <c r="D2634" s="186">
        <v>3.7</v>
      </c>
      <c r="E2634" s="186">
        <v>9.1999999999999993</v>
      </c>
      <c r="F2634" s="186">
        <v>8.84</v>
      </c>
      <c r="G2634" s="186">
        <v>5.4421519329999999</v>
      </c>
    </row>
    <row r="2635" spans="1:7" ht="14.4">
      <c r="A2635" s="186">
        <v>2634</v>
      </c>
      <c r="B2635" s="186" t="s">
        <v>365</v>
      </c>
      <c r="C2635" s="186" t="s">
        <v>2964</v>
      </c>
      <c r="D2635" s="186">
        <v>14.1</v>
      </c>
      <c r="E2635" s="186">
        <v>9.1999999999999993</v>
      </c>
      <c r="F2635" s="186">
        <v>8.84</v>
      </c>
      <c r="G2635" s="186">
        <v>5.4421519329999999</v>
      </c>
    </row>
    <row r="2636" spans="1:7" ht="14.4">
      <c r="A2636" s="186">
        <v>2635</v>
      </c>
      <c r="B2636" s="186" t="s">
        <v>415</v>
      </c>
      <c r="C2636" s="186" t="s">
        <v>2965</v>
      </c>
      <c r="D2636" s="187">
        <v>3098.5</v>
      </c>
      <c r="E2636" s="186">
        <v>9.16</v>
      </c>
      <c r="F2636" s="186">
        <v>8.84</v>
      </c>
      <c r="G2636" s="186">
        <v>5.4421519329999999</v>
      </c>
    </row>
    <row r="2637" spans="1:7" ht="14.4">
      <c r="A2637" s="186">
        <v>2636</v>
      </c>
      <c r="B2637" s="186" t="s">
        <v>415</v>
      </c>
      <c r="C2637" s="186" t="s">
        <v>2966</v>
      </c>
      <c r="D2637" s="187">
        <v>10962.1</v>
      </c>
      <c r="E2637" s="186">
        <v>9.16</v>
      </c>
      <c r="F2637" s="186">
        <v>8.84</v>
      </c>
      <c r="G2637" s="186">
        <v>5.4421519329999999</v>
      </c>
    </row>
    <row r="2638" spans="1:7" ht="14.4">
      <c r="A2638" s="186">
        <v>2637</v>
      </c>
      <c r="B2638" s="186" t="s">
        <v>234</v>
      </c>
      <c r="C2638" s="186" t="s">
        <v>2967</v>
      </c>
      <c r="D2638" s="187">
        <v>1625</v>
      </c>
      <c r="E2638" s="186">
        <v>8.9700000000000006</v>
      </c>
      <c r="F2638" s="186">
        <v>8.85</v>
      </c>
      <c r="G2638" s="186">
        <v>5.4521609450000001</v>
      </c>
    </row>
    <row r="2639" spans="1:7" ht="14.4">
      <c r="A2639" s="186">
        <v>2638</v>
      </c>
      <c r="B2639" s="186" t="s">
        <v>571</v>
      </c>
      <c r="C2639" s="186" t="s">
        <v>2968</v>
      </c>
      <c r="D2639" s="187">
        <v>1082.5999999999999</v>
      </c>
      <c r="E2639" s="186">
        <v>9</v>
      </c>
      <c r="F2639" s="186">
        <v>8.85</v>
      </c>
      <c r="G2639" s="186">
        <v>5.4521609450000001</v>
      </c>
    </row>
    <row r="2640" spans="1:7" ht="14.4">
      <c r="A2640" s="186">
        <v>2639</v>
      </c>
      <c r="B2640" s="186" t="s">
        <v>178</v>
      </c>
      <c r="C2640" s="186" t="s">
        <v>2969</v>
      </c>
      <c r="D2640" s="186">
        <v>56.8</v>
      </c>
      <c r="E2640" s="186">
        <v>8.81</v>
      </c>
      <c r="F2640" s="186">
        <v>8.85</v>
      </c>
      <c r="G2640" s="186">
        <v>5.4521609450000001</v>
      </c>
    </row>
    <row r="2641" spans="1:7" ht="14.4">
      <c r="A2641" s="186">
        <v>2640</v>
      </c>
      <c r="B2641" s="186" t="s">
        <v>178</v>
      </c>
      <c r="C2641" s="186" t="s">
        <v>2970</v>
      </c>
      <c r="D2641" s="186">
        <v>49.2</v>
      </c>
      <c r="E2641" s="186">
        <v>9.2100000000000009</v>
      </c>
      <c r="F2641" s="186">
        <v>8.85</v>
      </c>
      <c r="G2641" s="186">
        <v>5.4521609450000001</v>
      </c>
    </row>
    <row r="2642" spans="1:7" ht="14.4">
      <c r="A2642" s="186">
        <v>2641</v>
      </c>
      <c r="B2642" s="186" t="s">
        <v>286</v>
      </c>
      <c r="C2642" s="186" t="s">
        <v>2971</v>
      </c>
      <c r="D2642" s="186">
        <v>217.4</v>
      </c>
      <c r="E2642" s="186">
        <v>8.69</v>
      </c>
      <c r="F2642" s="186">
        <v>8.85</v>
      </c>
      <c r="G2642" s="186">
        <v>5.4521609450000001</v>
      </c>
    </row>
    <row r="2643" spans="1:7" ht="14.4">
      <c r="A2643" s="186">
        <v>2642</v>
      </c>
      <c r="B2643" s="186" t="s">
        <v>335</v>
      </c>
      <c r="C2643" s="186" t="s">
        <v>2972</v>
      </c>
      <c r="D2643" s="187">
        <v>1529.2</v>
      </c>
      <c r="E2643" s="186">
        <v>9.08</v>
      </c>
      <c r="F2643" s="186">
        <v>8.85</v>
      </c>
      <c r="G2643" s="186">
        <v>5.4521609450000001</v>
      </c>
    </row>
    <row r="2644" spans="1:7" ht="14.4">
      <c r="A2644" s="186">
        <v>2643</v>
      </c>
      <c r="B2644" s="186" t="s">
        <v>2307</v>
      </c>
      <c r="C2644" s="186" t="s">
        <v>2973</v>
      </c>
      <c r="D2644" s="186">
        <v>20.6</v>
      </c>
      <c r="E2644" s="186">
        <v>9.09</v>
      </c>
      <c r="F2644" s="186">
        <v>8.85</v>
      </c>
      <c r="G2644" s="186">
        <v>5.4521609450000001</v>
      </c>
    </row>
    <row r="2645" spans="1:7" ht="14.4">
      <c r="A2645" s="186">
        <v>2644</v>
      </c>
      <c r="B2645" s="186" t="s">
        <v>663</v>
      </c>
      <c r="C2645" s="186" t="s">
        <v>2974</v>
      </c>
      <c r="D2645" s="186">
        <v>201.2</v>
      </c>
      <c r="E2645" s="186">
        <v>9.02</v>
      </c>
      <c r="F2645" s="186">
        <v>8.85</v>
      </c>
      <c r="G2645" s="186">
        <v>5.4521609450000001</v>
      </c>
    </row>
    <row r="2646" spans="1:7" ht="14.4">
      <c r="A2646" s="186">
        <v>2645</v>
      </c>
      <c r="B2646" s="186" t="s">
        <v>340</v>
      </c>
      <c r="C2646" s="186" t="s">
        <v>2975</v>
      </c>
      <c r="D2646" s="186">
        <v>25.9</v>
      </c>
      <c r="E2646" s="186">
        <v>8.84</v>
      </c>
      <c r="F2646" s="186">
        <v>8.85</v>
      </c>
      <c r="G2646" s="186">
        <v>5.4521609450000001</v>
      </c>
    </row>
    <row r="2647" spans="1:7" ht="14.4">
      <c r="A2647" s="186">
        <v>2646</v>
      </c>
      <c r="B2647" s="186" t="s">
        <v>122</v>
      </c>
      <c r="C2647" s="186" t="s">
        <v>2976</v>
      </c>
      <c r="D2647" s="186">
        <v>428.6</v>
      </c>
      <c r="E2647" s="186">
        <v>9.27</v>
      </c>
      <c r="F2647" s="186">
        <v>8.86</v>
      </c>
      <c r="G2647" s="186">
        <v>5.4621874439999996</v>
      </c>
    </row>
    <row r="2648" spans="1:7" ht="14.4">
      <c r="A2648" s="186">
        <v>2647</v>
      </c>
      <c r="B2648" s="186" t="s">
        <v>348</v>
      </c>
      <c r="C2648" s="186" t="s">
        <v>2977</v>
      </c>
      <c r="D2648" s="186">
        <v>199.1</v>
      </c>
      <c r="E2648" s="186">
        <v>9.1999999999999993</v>
      </c>
      <c r="F2648" s="186">
        <v>8.86</v>
      </c>
      <c r="G2648" s="186">
        <v>5.4621874439999996</v>
      </c>
    </row>
    <row r="2649" spans="1:7" ht="14.4">
      <c r="A2649" s="186">
        <v>2648</v>
      </c>
      <c r="B2649" s="186" t="s">
        <v>663</v>
      </c>
      <c r="C2649" s="186" t="s">
        <v>2978</v>
      </c>
      <c r="D2649" s="186">
        <v>34.200000000000003</v>
      </c>
      <c r="E2649" s="186">
        <v>8.83</v>
      </c>
      <c r="F2649" s="186">
        <v>8.86</v>
      </c>
      <c r="G2649" s="186">
        <v>5.4621874439999996</v>
      </c>
    </row>
    <row r="2650" spans="1:7" ht="14.4">
      <c r="A2650" s="186">
        <v>2649</v>
      </c>
      <c r="B2650" s="186" t="s">
        <v>122</v>
      </c>
      <c r="C2650" s="186" t="s">
        <v>2979</v>
      </c>
      <c r="D2650" s="186">
        <v>518</v>
      </c>
      <c r="E2650" s="186">
        <v>9.14</v>
      </c>
      <c r="F2650" s="186">
        <v>8.8699999999999992</v>
      </c>
      <c r="G2650" s="186">
        <v>5.4722314580000004</v>
      </c>
    </row>
    <row r="2651" spans="1:7" ht="14.4">
      <c r="A2651" s="186">
        <v>2650</v>
      </c>
      <c r="B2651" s="186" t="s">
        <v>872</v>
      </c>
      <c r="C2651" s="186" t="s">
        <v>2980</v>
      </c>
      <c r="D2651" s="186">
        <v>536.1</v>
      </c>
      <c r="E2651" s="186">
        <v>9.1199999999999992</v>
      </c>
      <c r="F2651" s="186">
        <v>8.8699999999999992</v>
      </c>
      <c r="G2651" s="186">
        <v>5.4722314580000004</v>
      </c>
    </row>
    <row r="2652" spans="1:7" ht="14.4">
      <c r="A2652" s="186">
        <v>2651</v>
      </c>
      <c r="B2652" s="186" t="s">
        <v>280</v>
      </c>
      <c r="C2652" s="186" t="s">
        <v>2981</v>
      </c>
      <c r="D2652" s="186">
        <v>59</v>
      </c>
      <c r="E2652" s="186">
        <v>8.92</v>
      </c>
      <c r="F2652" s="186">
        <v>8.8699999999999992</v>
      </c>
      <c r="G2652" s="186">
        <v>5.4722314580000004</v>
      </c>
    </row>
    <row r="2653" spans="1:7" ht="14.4">
      <c r="A2653" s="186">
        <v>2652</v>
      </c>
      <c r="B2653" s="186" t="s">
        <v>565</v>
      </c>
      <c r="C2653" s="186" t="s">
        <v>2982</v>
      </c>
      <c r="D2653" s="186">
        <v>66.099999999999994</v>
      </c>
      <c r="E2653" s="186">
        <v>8.8699999999999992</v>
      </c>
      <c r="F2653" s="186">
        <v>8.8699999999999992</v>
      </c>
      <c r="G2653" s="186">
        <v>5.4722314580000004</v>
      </c>
    </row>
    <row r="2654" spans="1:7" ht="14.4">
      <c r="A2654" s="186">
        <v>2653</v>
      </c>
      <c r="B2654" s="186" t="s">
        <v>565</v>
      </c>
      <c r="C2654" s="186" t="s">
        <v>2983</v>
      </c>
      <c r="D2654" s="186">
        <v>2.4</v>
      </c>
      <c r="E2654" s="186">
        <v>9.19</v>
      </c>
      <c r="F2654" s="186">
        <v>8.8699999999999992</v>
      </c>
      <c r="G2654" s="186">
        <v>5.4722314580000004</v>
      </c>
    </row>
    <row r="2655" spans="1:7" ht="14.4">
      <c r="A2655" s="186">
        <v>2654</v>
      </c>
      <c r="B2655" s="186" t="s">
        <v>178</v>
      </c>
      <c r="C2655" s="186" t="s">
        <v>2984</v>
      </c>
      <c r="D2655" s="186">
        <v>0.1</v>
      </c>
      <c r="E2655" s="186">
        <v>9.41</v>
      </c>
      <c r="F2655" s="186">
        <v>8.8800000000000008</v>
      </c>
      <c r="G2655" s="186">
        <v>5.4822930159999999</v>
      </c>
    </row>
    <row r="2656" spans="1:7" ht="14.4">
      <c r="A2656" s="186">
        <v>2655</v>
      </c>
      <c r="B2656" s="186" t="s">
        <v>175</v>
      </c>
      <c r="C2656" s="186" t="s">
        <v>2985</v>
      </c>
      <c r="D2656" s="186">
        <v>405.7</v>
      </c>
      <c r="E2656" s="186">
        <v>9.08</v>
      </c>
      <c r="F2656" s="186">
        <v>8.8800000000000008</v>
      </c>
      <c r="G2656" s="186">
        <v>5.4822930159999999</v>
      </c>
    </row>
    <row r="2657" spans="1:7" ht="14.4">
      <c r="A2657" s="186">
        <v>2656</v>
      </c>
      <c r="B2657" s="186" t="s">
        <v>834</v>
      </c>
      <c r="C2657" s="186" t="s">
        <v>2986</v>
      </c>
      <c r="D2657" s="186">
        <v>201</v>
      </c>
      <c r="E2657" s="186">
        <v>9.1199999999999992</v>
      </c>
      <c r="F2657" s="186">
        <v>8.8800000000000008</v>
      </c>
      <c r="G2657" s="186">
        <v>5.4822930159999999</v>
      </c>
    </row>
    <row r="2658" spans="1:7" ht="14.4">
      <c r="A2658" s="186">
        <v>2657</v>
      </c>
      <c r="B2658" s="186" t="s">
        <v>834</v>
      </c>
      <c r="C2658" s="186" t="s">
        <v>2987</v>
      </c>
      <c r="D2658" s="186">
        <v>83.9</v>
      </c>
      <c r="E2658" s="186">
        <v>8.9</v>
      </c>
      <c r="F2658" s="186">
        <v>8.8800000000000008</v>
      </c>
      <c r="G2658" s="186">
        <v>5.4822930159999999</v>
      </c>
    </row>
    <row r="2659" spans="1:7" ht="14.4">
      <c r="A2659" s="186">
        <v>2658</v>
      </c>
      <c r="B2659" s="186" t="s">
        <v>138</v>
      </c>
      <c r="C2659" s="186" t="s">
        <v>2988</v>
      </c>
      <c r="D2659" s="187">
        <v>7476.4</v>
      </c>
      <c r="E2659" s="186">
        <v>9.0500000000000007</v>
      </c>
      <c r="F2659" s="186">
        <v>8.89</v>
      </c>
      <c r="G2659" s="186">
        <v>5.4923721480000003</v>
      </c>
    </row>
    <row r="2660" spans="1:7" ht="14.4">
      <c r="A2660" s="186">
        <v>2659</v>
      </c>
      <c r="B2660" s="186" t="s">
        <v>178</v>
      </c>
      <c r="C2660" s="186" t="s">
        <v>2989</v>
      </c>
      <c r="D2660" s="186">
        <v>17.5</v>
      </c>
      <c r="E2660" s="186">
        <v>9.33</v>
      </c>
      <c r="F2660" s="186">
        <v>8.89</v>
      </c>
      <c r="G2660" s="186">
        <v>5.4923721480000003</v>
      </c>
    </row>
    <row r="2661" spans="1:7" ht="14.4">
      <c r="A2661" s="186">
        <v>2660</v>
      </c>
      <c r="B2661" s="186" t="s">
        <v>178</v>
      </c>
      <c r="C2661" s="186" t="s">
        <v>2990</v>
      </c>
      <c r="D2661" s="186">
        <v>67.7</v>
      </c>
      <c r="E2661" s="186">
        <v>9.08</v>
      </c>
      <c r="F2661" s="186">
        <v>8.89</v>
      </c>
      <c r="G2661" s="186">
        <v>5.4923721480000003</v>
      </c>
    </row>
    <row r="2662" spans="1:7" ht="14.4">
      <c r="A2662" s="186">
        <v>2661</v>
      </c>
      <c r="B2662" s="186" t="s">
        <v>175</v>
      </c>
      <c r="C2662" s="186" t="s">
        <v>2991</v>
      </c>
      <c r="D2662" s="186">
        <v>404.1</v>
      </c>
      <c r="E2662" s="186">
        <v>9.2200000000000006</v>
      </c>
      <c r="F2662" s="186">
        <v>8.89</v>
      </c>
      <c r="G2662" s="186">
        <v>5.4923721480000003</v>
      </c>
    </row>
    <row r="2663" spans="1:7" ht="14.4">
      <c r="A2663" s="186">
        <v>2662</v>
      </c>
      <c r="B2663" s="186" t="s">
        <v>122</v>
      </c>
      <c r="C2663" s="186" t="s">
        <v>2992</v>
      </c>
      <c r="D2663" s="187">
        <v>1661.4</v>
      </c>
      <c r="E2663" s="186">
        <v>9.08</v>
      </c>
      <c r="F2663" s="186">
        <v>8.89</v>
      </c>
      <c r="G2663" s="186">
        <v>5.4923721480000003</v>
      </c>
    </row>
    <row r="2664" spans="1:7" ht="14.4">
      <c r="A2664" s="186">
        <v>2663</v>
      </c>
      <c r="B2664" s="186" t="s">
        <v>122</v>
      </c>
      <c r="C2664" s="186" t="s">
        <v>2993</v>
      </c>
      <c r="D2664" s="186">
        <v>852.8</v>
      </c>
      <c r="E2664" s="186">
        <v>9.2100000000000009</v>
      </c>
      <c r="F2664" s="186">
        <v>8.89</v>
      </c>
      <c r="G2664" s="186">
        <v>5.4923721480000003</v>
      </c>
    </row>
    <row r="2665" spans="1:7" ht="14.4">
      <c r="A2665" s="186">
        <v>2664</v>
      </c>
      <c r="B2665" s="186" t="s">
        <v>2307</v>
      </c>
      <c r="C2665" s="186" t="s">
        <v>2994</v>
      </c>
      <c r="D2665" s="186">
        <v>10.1</v>
      </c>
      <c r="E2665" s="186">
        <v>9.1300000000000008</v>
      </c>
      <c r="F2665" s="186">
        <v>8.89</v>
      </c>
      <c r="G2665" s="186">
        <v>5.4923721480000003</v>
      </c>
    </row>
    <row r="2666" spans="1:7" ht="14.4">
      <c r="A2666" s="186">
        <v>2665</v>
      </c>
      <c r="B2666" s="186" t="s">
        <v>2307</v>
      </c>
      <c r="C2666" s="186" t="s">
        <v>2995</v>
      </c>
      <c r="D2666" s="186">
        <v>36.299999999999997</v>
      </c>
      <c r="E2666" s="186">
        <v>9</v>
      </c>
      <c r="F2666" s="186">
        <v>8.89</v>
      </c>
      <c r="G2666" s="186">
        <v>5.4923721480000003</v>
      </c>
    </row>
    <row r="2667" spans="1:7" ht="14.4">
      <c r="A2667" s="186">
        <v>2666</v>
      </c>
      <c r="B2667" s="186" t="s">
        <v>547</v>
      </c>
      <c r="C2667" s="186" t="s">
        <v>2996</v>
      </c>
      <c r="D2667" s="186">
        <v>397.1</v>
      </c>
      <c r="E2667" s="186">
        <v>9.16</v>
      </c>
      <c r="F2667" s="186">
        <v>8.89</v>
      </c>
      <c r="G2667" s="186">
        <v>5.4923721480000003</v>
      </c>
    </row>
    <row r="2668" spans="1:7" ht="14.4">
      <c r="A2668" s="186">
        <v>2667</v>
      </c>
      <c r="B2668" s="186" t="s">
        <v>1228</v>
      </c>
      <c r="C2668" s="186" t="s">
        <v>2997</v>
      </c>
      <c r="D2668" s="187">
        <v>5367.7</v>
      </c>
      <c r="E2668" s="186">
        <v>8.99</v>
      </c>
      <c r="F2668" s="186">
        <v>8.9</v>
      </c>
      <c r="G2668" s="186">
        <v>5.5024688810000004</v>
      </c>
    </row>
    <row r="2669" spans="1:7" ht="14.4">
      <c r="A2669" s="186">
        <v>2668</v>
      </c>
      <c r="B2669" s="186" t="s">
        <v>178</v>
      </c>
      <c r="C2669" s="186" t="s">
        <v>2998</v>
      </c>
      <c r="D2669" s="186">
        <v>0.2</v>
      </c>
      <c r="E2669" s="186">
        <v>9.34</v>
      </c>
      <c r="F2669" s="186">
        <v>8.9</v>
      </c>
      <c r="G2669" s="186">
        <v>5.5024688810000004</v>
      </c>
    </row>
    <row r="2670" spans="1:7" ht="14.4">
      <c r="A2670" s="186">
        <v>2669</v>
      </c>
      <c r="B2670" s="186" t="s">
        <v>146</v>
      </c>
      <c r="C2670" s="944" t="s">
        <v>2999</v>
      </c>
      <c r="D2670" s="187">
        <v>3472.1</v>
      </c>
      <c r="E2670" s="186" t="s">
        <v>152</v>
      </c>
      <c r="F2670" s="186">
        <v>8.9</v>
      </c>
      <c r="G2670" s="186">
        <v>5.5024688810000004</v>
      </c>
    </row>
    <row r="2671" spans="1:7" ht="14.4">
      <c r="A2671" s="186">
        <v>2670</v>
      </c>
      <c r="B2671" s="186" t="s">
        <v>210</v>
      </c>
      <c r="C2671" s="186" t="s">
        <v>3000</v>
      </c>
      <c r="D2671" s="186">
        <v>131</v>
      </c>
      <c r="E2671" s="186">
        <v>9.2200000000000006</v>
      </c>
      <c r="F2671" s="186">
        <v>8.9</v>
      </c>
      <c r="G2671" s="186">
        <v>5.5024688810000004</v>
      </c>
    </row>
    <row r="2672" spans="1:7" ht="14.4">
      <c r="A2672" s="186">
        <v>2671</v>
      </c>
      <c r="B2672" s="186" t="s">
        <v>451</v>
      </c>
      <c r="C2672" s="186" t="s">
        <v>3001</v>
      </c>
      <c r="D2672" s="186">
        <v>242.5</v>
      </c>
      <c r="E2672" s="186">
        <v>9.2799999999999994</v>
      </c>
      <c r="F2672" s="186">
        <v>8.9</v>
      </c>
      <c r="G2672" s="186">
        <v>5.5024688810000004</v>
      </c>
    </row>
    <row r="2673" spans="1:7" ht="14.4">
      <c r="A2673" s="186">
        <v>2672</v>
      </c>
      <c r="B2673" s="186" t="s">
        <v>365</v>
      </c>
      <c r="C2673" s="186" t="s">
        <v>3002</v>
      </c>
      <c r="D2673" s="186">
        <v>32</v>
      </c>
      <c r="E2673" s="186">
        <v>9.24</v>
      </c>
      <c r="F2673" s="186">
        <v>8.91</v>
      </c>
      <c r="G2673" s="186">
        <v>5.5125832460000002</v>
      </c>
    </row>
    <row r="2674" spans="1:7" ht="14.4">
      <c r="A2674" s="186">
        <v>2673</v>
      </c>
      <c r="B2674" s="186" t="s">
        <v>288</v>
      </c>
      <c r="C2674" s="186" t="s">
        <v>3003</v>
      </c>
      <c r="D2674" s="186">
        <v>3.1</v>
      </c>
      <c r="E2674" s="186">
        <v>8.99</v>
      </c>
      <c r="F2674" s="186">
        <v>8.91</v>
      </c>
      <c r="G2674" s="186">
        <v>5.5125832460000002</v>
      </c>
    </row>
    <row r="2675" spans="1:7" ht="14.4">
      <c r="A2675" s="186">
        <v>2674</v>
      </c>
      <c r="B2675" s="186" t="s">
        <v>1729</v>
      </c>
      <c r="C2675" s="186" t="s">
        <v>3004</v>
      </c>
      <c r="D2675" s="186">
        <v>58</v>
      </c>
      <c r="E2675" s="186">
        <v>9.15</v>
      </c>
      <c r="F2675" s="186">
        <v>8.91</v>
      </c>
      <c r="G2675" s="186">
        <v>5.5125832460000002</v>
      </c>
    </row>
    <row r="2676" spans="1:7" ht="14.4">
      <c r="A2676" s="186">
        <v>2675</v>
      </c>
      <c r="B2676" s="186" t="s">
        <v>184</v>
      </c>
      <c r="C2676" s="186" t="s">
        <v>3005</v>
      </c>
      <c r="D2676" s="187">
        <v>6914.5</v>
      </c>
      <c r="E2676" s="186">
        <v>9.34</v>
      </c>
      <c r="F2676" s="186">
        <v>8.91</v>
      </c>
      <c r="G2676" s="186">
        <v>5.5125832460000002</v>
      </c>
    </row>
    <row r="2677" spans="1:7" ht="14.4">
      <c r="A2677" s="186">
        <v>2676</v>
      </c>
      <c r="B2677" s="186" t="s">
        <v>271</v>
      </c>
      <c r="C2677" s="186" t="s">
        <v>3006</v>
      </c>
      <c r="D2677" s="186">
        <v>155.9</v>
      </c>
      <c r="E2677" s="186">
        <v>9.2100000000000009</v>
      </c>
      <c r="F2677" s="186">
        <v>8.92</v>
      </c>
      <c r="G2677" s="186">
        <v>5.522715271</v>
      </c>
    </row>
    <row r="2678" spans="1:7" ht="14.4">
      <c r="A2678" s="186">
        <v>2677</v>
      </c>
      <c r="B2678" s="186" t="s">
        <v>178</v>
      </c>
      <c r="C2678" s="186" t="s">
        <v>3007</v>
      </c>
      <c r="D2678" s="186">
        <v>193.1</v>
      </c>
      <c r="E2678" s="186">
        <v>9.36</v>
      </c>
      <c r="F2678" s="186">
        <v>8.92</v>
      </c>
      <c r="G2678" s="186">
        <v>5.522715271</v>
      </c>
    </row>
    <row r="2679" spans="1:7" ht="14.4">
      <c r="A2679" s="186">
        <v>2678</v>
      </c>
      <c r="B2679" s="186" t="s">
        <v>3008</v>
      </c>
      <c r="C2679" s="186" t="s">
        <v>3009</v>
      </c>
      <c r="D2679" s="186">
        <v>378.4</v>
      </c>
      <c r="E2679" s="186">
        <v>9.27</v>
      </c>
      <c r="F2679" s="186">
        <v>8.92</v>
      </c>
      <c r="G2679" s="186">
        <v>5.522715271</v>
      </c>
    </row>
    <row r="2680" spans="1:7" ht="14.4">
      <c r="A2680" s="186">
        <v>2679</v>
      </c>
      <c r="B2680" s="186" t="s">
        <v>1323</v>
      </c>
      <c r="C2680" s="186" t="s">
        <v>3010</v>
      </c>
      <c r="D2680" s="186">
        <v>29.9</v>
      </c>
      <c r="E2680" s="186">
        <v>9.1199999999999992</v>
      </c>
      <c r="F2680" s="186">
        <v>8.92</v>
      </c>
      <c r="G2680" s="186">
        <v>5.522715271</v>
      </c>
    </row>
    <row r="2681" spans="1:7" ht="14.4">
      <c r="A2681" s="186">
        <v>2680</v>
      </c>
      <c r="B2681" s="186" t="s">
        <v>1228</v>
      </c>
      <c r="C2681" s="186" t="s">
        <v>3011</v>
      </c>
      <c r="D2681" s="187">
        <v>5525.5</v>
      </c>
      <c r="E2681" s="186">
        <v>9.1999999999999993</v>
      </c>
      <c r="F2681" s="186">
        <v>8.93</v>
      </c>
      <c r="G2681" s="186">
        <v>5.532864987</v>
      </c>
    </row>
    <row r="2682" spans="1:7" ht="14.4">
      <c r="A2682" s="186">
        <v>2681</v>
      </c>
      <c r="B2682" s="186" t="s">
        <v>1228</v>
      </c>
      <c r="C2682" s="186" t="s">
        <v>3012</v>
      </c>
      <c r="D2682" s="187">
        <v>12032.4</v>
      </c>
      <c r="E2682" s="186">
        <v>9.02</v>
      </c>
      <c r="F2682" s="186">
        <v>8.93</v>
      </c>
      <c r="G2682" s="186">
        <v>5.532864987</v>
      </c>
    </row>
    <row r="2683" spans="1:7" ht="14.4">
      <c r="A2683" s="186">
        <v>2682</v>
      </c>
      <c r="B2683" s="186" t="s">
        <v>340</v>
      </c>
      <c r="C2683" s="186" t="s">
        <v>3013</v>
      </c>
      <c r="D2683" s="186">
        <v>925.4</v>
      </c>
      <c r="E2683" s="186">
        <v>8.8800000000000008</v>
      </c>
      <c r="F2683" s="186">
        <v>8.93</v>
      </c>
      <c r="G2683" s="186">
        <v>5.532864987</v>
      </c>
    </row>
    <row r="2684" spans="1:7" ht="14.4">
      <c r="A2684" s="186">
        <v>2683</v>
      </c>
      <c r="B2684" s="186" t="s">
        <v>138</v>
      </c>
      <c r="C2684" s="186" t="s">
        <v>3014</v>
      </c>
      <c r="D2684" s="186">
        <v>747.9</v>
      </c>
      <c r="E2684" s="186">
        <v>9.1199999999999992</v>
      </c>
      <c r="F2684" s="186">
        <v>8.94</v>
      </c>
      <c r="G2684" s="186">
        <v>5.5430324210000004</v>
      </c>
    </row>
    <row r="2685" spans="1:7" ht="14.4">
      <c r="A2685" s="186">
        <v>2684</v>
      </c>
      <c r="B2685" s="186" t="s">
        <v>1228</v>
      </c>
      <c r="C2685" s="186" t="s">
        <v>3015</v>
      </c>
      <c r="D2685" s="187">
        <v>6398.3</v>
      </c>
      <c r="E2685" s="186">
        <v>9.0500000000000007</v>
      </c>
      <c r="F2685" s="186">
        <v>8.94</v>
      </c>
      <c r="G2685" s="186">
        <v>5.5430324210000004</v>
      </c>
    </row>
    <row r="2686" spans="1:7" ht="14.4">
      <c r="A2686" s="186">
        <v>2685</v>
      </c>
      <c r="B2686" s="186" t="s">
        <v>483</v>
      </c>
      <c r="C2686" s="186" t="s">
        <v>3016</v>
      </c>
      <c r="D2686" s="186">
        <v>43.8</v>
      </c>
      <c r="E2686" s="186">
        <v>8.5500000000000007</v>
      </c>
      <c r="F2686" s="186">
        <v>8.94</v>
      </c>
      <c r="G2686" s="186">
        <v>5.5430324210000004</v>
      </c>
    </row>
    <row r="2687" spans="1:7" ht="14.4">
      <c r="A2687" s="186">
        <v>2686</v>
      </c>
      <c r="B2687" s="186" t="s">
        <v>286</v>
      </c>
      <c r="C2687" s="186" t="s">
        <v>3017</v>
      </c>
      <c r="D2687" s="186">
        <v>65.2</v>
      </c>
      <c r="E2687" s="186">
        <v>9.2799999999999994</v>
      </c>
      <c r="F2687" s="186">
        <v>8.94</v>
      </c>
      <c r="G2687" s="186">
        <v>5.5430324210000004</v>
      </c>
    </row>
    <row r="2688" spans="1:7" ht="14.4">
      <c r="A2688" s="186">
        <v>2687</v>
      </c>
      <c r="B2688" s="186" t="s">
        <v>280</v>
      </c>
      <c r="C2688" s="186" t="s">
        <v>3018</v>
      </c>
      <c r="D2688" s="186">
        <v>597.20000000000005</v>
      </c>
      <c r="E2688" s="186">
        <v>8.85</v>
      </c>
      <c r="F2688" s="186">
        <v>8.94</v>
      </c>
      <c r="G2688" s="186">
        <v>5.5430324210000004</v>
      </c>
    </row>
    <row r="2689" spans="1:7" ht="14.4">
      <c r="A2689" s="186">
        <v>2688</v>
      </c>
      <c r="B2689" s="186" t="s">
        <v>252</v>
      </c>
      <c r="C2689" s="186" t="s">
        <v>3019</v>
      </c>
      <c r="D2689" s="186">
        <v>184.2</v>
      </c>
      <c r="E2689" s="186">
        <v>8.6199999999999992</v>
      </c>
      <c r="F2689" s="186">
        <v>8.9499999999999993</v>
      </c>
      <c r="G2689" s="186">
        <v>5.5532176030000002</v>
      </c>
    </row>
    <row r="2690" spans="1:7" ht="14.4">
      <c r="A2690" s="186">
        <v>2689</v>
      </c>
      <c r="B2690" s="186" t="s">
        <v>263</v>
      </c>
      <c r="C2690" s="186" t="s">
        <v>3020</v>
      </c>
      <c r="D2690" s="186">
        <v>0.6</v>
      </c>
      <c r="E2690" s="186">
        <v>9.09</v>
      </c>
      <c r="F2690" s="186">
        <v>8.9499999999999993</v>
      </c>
      <c r="G2690" s="186">
        <v>5.5532176030000002</v>
      </c>
    </row>
    <row r="2691" spans="1:7" ht="14.4">
      <c r="A2691" s="186">
        <v>2690</v>
      </c>
      <c r="B2691" s="186" t="s">
        <v>365</v>
      </c>
      <c r="C2691" s="186" t="s">
        <v>3021</v>
      </c>
      <c r="D2691" s="186">
        <v>95.9</v>
      </c>
      <c r="E2691" s="186">
        <v>9.31</v>
      </c>
      <c r="F2691" s="186">
        <v>8.9499999999999993</v>
      </c>
      <c r="G2691" s="186">
        <v>5.5532176030000002</v>
      </c>
    </row>
    <row r="2692" spans="1:7" ht="14.4">
      <c r="A2692" s="186">
        <v>2691</v>
      </c>
      <c r="B2692" s="186" t="s">
        <v>307</v>
      </c>
      <c r="C2692" s="186" t="s">
        <v>3022</v>
      </c>
      <c r="D2692" s="187">
        <v>1035.7</v>
      </c>
      <c r="E2692" s="186">
        <v>8.8699999999999992</v>
      </c>
      <c r="F2692" s="186">
        <v>8.9499999999999993</v>
      </c>
      <c r="G2692" s="186">
        <v>5.5532176030000002</v>
      </c>
    </row>
    <row r="2693" spans="1:7" ht="14.4">
      <c r="A2693" s="186">
        <v>2692</v>
      </c>
      <c r="B2693" s="186" t="s">
        <v>280</v>
      </c>
      <c r="C2693" s="186" t="s">
        <v>3023</v>
      </c>
      <c r="D2693" s="186">
        <v>1.8</v>
      </c>
      <c r="E2693" s="186">
        <v>9.27</v>
      </c>
      <c r="F2693" s="186">
        <v>8.9499999999999993</v>
      </c>
      <c r="G2693" s="186">
        <v>5.5532176030000002</v>
      </c>
    </row>
    <row r="2694" spans="1:7" ht="14.4">
      <c r="A2694" s="186">
        <v>2693</v>
      </c>
      <c r="B2694" s="186" t="s">
        <v>340</v>
      </c>
      <c r="C2694" s="186" t="s">
        <v>3024</v>
      </c>
      <c r="D2694" s="186">
        <v>326</v>
      </c>
      <c r="E2694" s="186">
        <v>9.2899999999999991</v>
      </c>
      <c r="F2694" s="186">
        <v>8.9499999999999993</v>
      </c>
      <c r="G2694" s="186">
        <v>5.5532176030000002</v>
      </c>
    </row>
    <row r="2695" spans="1:7" ht="14.4">
      <c r="A2695" s="186">
        <v>2694</v>
      </c>
      <c r="B2695" s="186" t="s">
        <v>1228</v>
      </c>
      <c r="C2695" s="186" t="s">
        <v>3025</v>
      </c>
      <c r="D2695" s="187">
        <v>10978.5</v>
      </c>
      <c r="E2695" s="186">
        <v>9.24</v>
      </c>
      <c r="F2695" s="186">
        <v>8.9600000000000009</v>
      </c>
      <c r="G2695" s="186">
        <v>5.5634205630000002</v>
      </c>
    </row>
    <row r="2696" spans="1:7" ht="14.4">
      <c r="A2696" s="186">
        <v>2695</v>
      </c>
      <c r="B2696" s="186" t="s">
        <v>365</v>
      </c>
      <c r="C2696" s="186" t="s">
        <v>3026</v>
      </c>
      <c r="D2696" s="186">
        <v>145.5</v>
      </c>
      <c r="E2696" s="186">
        <v>9.2899999999999991</v>
      </c>
      <c r="F2696" s="186">
        <v>8.9600000000000009</v>
      </c>
      <c r="G2696" s="186">
        <v>5.5634205630000002</v>
      </c>
    </row>
    <row r="2697" spans="1:7" ht="14.4">
      <c r="A2697" s="186">
        <v>2696</v>
      </c>
      <c r="B2697" s="186" t="s">
        <v>365</v>
      </c>
      <c r="C2697" s="186" t="s">
        <v>3027</v>
      </c>
      <c r="D2697" s="186">
        <v>139</v>
      </c>
      <c r="E2697" s="186">
        <v>9.2899999999999991</v>
      </c>
      <c r="F2697" s="186">
        <v>8.9600000000000009</v>
      </c>
      <c r="G2697" s="186">
        <v>5.5634205630000002</v>
      </c>
    </row>
    <row r="2698" spans="1:7" ht="14.4">
      <c r="A2698" s="186">
        <v>2697</v>
      </c>
      <c r="B2698" s="186" t="s">
        <v>210</v>
      </c>
      <c r="C2698" s="186" t="s">
        <v>3028</v>
      </c>
      <c r="D2698" s="186">
        <v>349.4</v>
      </c>
      <c r="E2698" s="186">
        <v>9.2799999999999994</v>
      </c>
      <c r="F2698" s="186">
        <v>8.9600000000000009</v>
      </c>
      <c r="G2698" s="186">
        <v>5.5634205630000002</v>
      </c>
    </row>
    <row r="2699" spans="1:7" ht="14.4">
      <c r="A2699" s="186">
        <v>2698</v>
      </c>
      <c r="B2699" s="186" t="s">
        <v>210</v>
      </c>
      <c r="C2699" s="186" t="s">
        <v>3029</v>
      </c>
      <c r="D2699" s="186">
        <v>998.8</v>
      </c>
      <c r="E2699" s="186">
        <v>9.2899999999999991</v>
      </c>
      <c r="F2699" s="186">
        <v>8.9600000000000009</v>
      </c>
      <c r="G2699" s="186">
        <v>5.5634205630000002</v>
      </c>
    </row>
    <row r="2700" spans="1:7" ht="14.4">
      <c r="A2700" s="186">
        <v>2699</v>
      </c>
      <c r="B2700" s="186" t="s">
        <v>1228</v>
      </c>
      <c r="C2700" s="186" t="s">
        <v>3030</v>
      </c>
      <c r="D2700" s="187">
        <v>12117</v>
      </c>
      <c r="E2700" s="186">
        <v>9.08</v>
      </c>
      <c r="F2700" s="186">
        <v>8.9700000000000006</v>
      </c>
      <c r="G2700" s="186">
        <v>5.5736413300000001</v>
      </c>
    </row>
    <row r="2701" spans="1:7" ht="14.4">
      <c r="A2701" s="186">
        <v>2700</v>
      </c>
      <c r="B2701" s="186" t="s">
        <v>178</v>
      </c>
      <c r="C2701" s="186" t="s">
        <v>3031</v>
      </c>
      <c r="D2701" s="187">
        <v>1798.4</v>
      </c>
      <c r="E2701" s="186">
        <v>9.23</v>
      </c>
      <c r="F2701" s="186">
        <v>8.9700000000000006</v>
      </c>
      <c r="G2701" s="186">
        <v>5.5736413300000001</v>
      </c>
    </row>
    <row r="2702" spans="1:7" ht="14.4">
      <c r="A2702" s="186">
        <v>2701</v>
      </c>
      <c r="B2702" s="186" t="s">
        <v>178</v>
      </c>
      <c r="C2702" s="186" t="s">
        <v>3032</v>
      </c>
      <c r="D2702" s="186">
        <v>227.6</v>
      </c>
      <c r="E2702" s="186">
        <v>9.17</v>
      </c>
      <c r="F2702" s="186">
        <v>8.9700000000000006</v>
      </c>
      <c r="G2702" s="186">
        <v>5.5736413300000001</v>
      </c>
    </row>
    <row r="2703" spans="1:7" ht="14.4">
      <c r="A2703" s="186">
        <v>2702</v>
      </c>
      <c r="B2703" s="186" t="s">
        <v>286</v>
      </c>
      <c r="C2703" s="186" t="s">
        <v>3033</v>
      </c>
      <c r="D2703" s="186">
        <v>478.4</v>
      </c>
      <c r="E2703" s="186">
        <v>9.1300000000000008</v>
      </c>
      <c r="F2703" s="186">
        <v>8.9700000000000006</v>
      </c>
      <c r="G2703" s="186">
        <v>5.5736413300000001</v>
      </c>
    </row>
    <row r="2704" spans="1:7" ht="14.4">
      <c r="A2704" s="186">
        <v>2703</v>
      </c>
      <c r="B2704" s="186" t="s">
        <v>210</v>
      </c>
      <c r="C2704" s="186" t="s">
        <v>3034</v>
      </c>
      <c r="D2704" s="186">
        <v>925.3</v>
      </c>
      <c r="E2704" s="186">
        <v>9.2200000000000006</v>
      </c>
      <c r="F2704" s="186">
        <v>8.9700000000000006</v>
      </c>
      <c r="G2704" s="186">
        <v>5.5736413300000001</v>
      </c>
    </row>
    <row r="2705" spans="1:7" ht="14.4">
      <c r="A2705" s="186">
        <v>2704</v>
      </c>
      <c r="B2705" s="186" t="s">
        <v>1008</v>
      </c>
      <c r="C2705" s="186" t="s">
        <v>3035</v>
      </c>
      <c r="D2705" s="186">
        <v>65.7</v>
      </c>
      <c r="E2705" s="186">
        <v>9.0299999999999994</v>
      </c>
      <c r="F2705" s="186">
        <v>8.98</v>
      </c>
      <c r="G2705" s="186">
        <v>5.5838799330000004</v>
      </c>
    </row>
    <row r="2706" spans="1:7" ht="14.4">
      <c r="A2706" s="186">
        <v>2705</v>
      </c>
      <c r="B2706" s="186" t="s">
        <v>178</v>
      </c>
      <c r="C2706" s="186" t="s">
        <v>3036</v>
      </c>
      <c r="D2706" s="186">
        <v>1.5</v>
      </c>
      <c r="E2706" s="186">
        <v>9.26</v>
      </c>
      <c r="F2706" s="186">
        <v>8.98</v>
      </c>
      <c r="G2706" s="186">
        <v>5.5838799330000004</v>
      </c>
    </row>
    <row r="2707" spans="1:7" ht="14.4">
      <c r="A2707" s="186">
        <v>2706</v>
      </c>
      <c r="B2707" s="186" t="s">
        <v>175</v>
      </c>
      <c r="C2707" s="186" t="s">
        <v>3037</v>
      </c>
      <c r="D2707" s="186">
        <v>583.4</v>
      </c>
      <c r="E2707" s="186">
        <v>9.11</v>
      </c>
      <c r="F2707" s="186">
        <v>8.98</v>
      </c>
      <c r="G2707" s="186">
        <v>5.5838799330000004</v>
      </c>
    </row>
    <row r="2708" spans="1:7" ht="14.4">
      <c r="A2708" s="186">
        <v>2707</v>
      </c>
      <c r="B2708" s="186" t="s">
        <v>872</v>
      </c>
      <c r="C2708" s="186" t="s">
        <v>3038</v>
      </c>
      <c r="D2708" s="186">
        <v>97.1</v>
      </c>
      <c r="E2708" s="186">
        <v>9.18</v>
      </c>
      <c r="F2708" s="186">
        <v>8.98</v>
      </c>
      <c r="G2708" s="186">
        <v>5.5838799330000004</v>
      </c>
    </row>
    <row r="2709" spans="1:7" ht="14.4">
      <c r="A2709" s="186">
        <v>2708</v>
      </c>
      <c r="B2709" s="186" t="s">
        <v>2307</v>
      </c>
      <c r="C2709" s="186" t="s">
        <v>3039</v>
      </c>
      <c r="D2709" s="186">
        <v>108.4</v>
      </c>
      <c r="E2709" s="186">
        <v>9.09</v>
      </c>
      <c r="F2709" s="186">
        <v>8.98</v>
      </c>
      <c r="G2709" s="186">
        <v>5.5838799330000004</v>
      </c>
    </row>
    <row r="2710" spans="1:7" ht="14.4">
      <c r="A2710" s="186">
        <v>2709</v>
      </c>
      <c r="B2710" s="186" t="s">
        <v>178</v>
      </c>
      <c r="C2710" s="186" t="s">
        <v>3040</v>
      </c>
      <c r="D2710" s="186">
        <v>11.5</v>
      </c>
      <c r="E2710" s="186">
        <v>9.44</v>
      </c>
      <c r="F2710" s="186">
        <v>8.99</v>
      </c>
      <c r="G2710" s="186">
        <v>5.5941364030000003</v>
      </c>
    </row>
    <row r="2711" spans="1:7" ht="14.4">
      <c r="A2711" s="186">
        <v>2710</v>
      </c>
      <c r="B2711" s="186" t="s">
        <v>3008</v>
      </c>
      <c r="C2711" s="186" t="s">
        <v>3041</v>
      </c>
      <c r="D2711" s="186">
        <v>795.8</v>
      </c>
      <c r="E2711" s="186">
        <v>9.34</v>
      </c>
      <c r="F2711" s="186">
        <v>8.99</v>
      </c>
      <c r="G2711" s="186">
        <v>5.5941364030000003</v>
      </c>
    </row>
    <row r="2712" spans="1:7" ht="14.4">
      <c r="A2712" s="186">
        <v>2711</v>
      </c>
      <c r="B2712" s="186" t="s">
        <v>226</v>
      </c>
      <c r="C2712" s="186" t="s">
        <v>3042</v>
      </c>
      <c r="D2712" s="186">
        <v>43.3</v>
      </c>
      <c r="E2712" s="186">
        <v>8.89</v>
      </c>
      <c r="F2712" s="186">
        <v>8.99</v>
      </c>
      <c r="G2712" s="186">
        <v>5.5941364030000003</v>
      </c>
    </row>
    <row r="2713" spans="1:7" ht="14.4">
      <c r="A2713" s="186">
        <v>2712</v>
      </c>
      <c r="B2713" s="186" t="s">
        <v>226</v>
      </c>
      <c r="C2713" s="186" t="s">
        <v>3043</v>
      </c>
      <c r="D2713" s="187">
        <v>1981.4</v>
      </c>
      <c r="E2713" s="186">
        <v>9.2100000000000009</v>
      </c>
      <c r="F2713" s="186">
        <v>8.99</v>
      </c>
      <c r="G2713" s="186">
        <v>5.5941364030000003</v>
      </c>
    </row>
    <row r="2714" spans="1:7" ht="14.4">
      <c r="A2714" s="186">
        <v>2713</v>
      </c>
      <c r="B2714" s="186" t="s">
        <v>133</v>
      </c>
      <c r="C2714" s="186" t="s">
        <v>3044</v>
      </c>
      <c r="D2714" s="187">
        <v>1330.7</v>
      </c>
      <c r="E2714" s="186">
        <v>9.5299999999999994</v>
      </c>
      <c r="F2714" s="186">
        <v>8.99</v>
      </c>
      <c r="G2714" s="186">
        <v>5.5941364030000003</v>
      </c>
    </row>
    <row r="2715" spans="1:7" ht="14.4">
      <c r="A2715" s="186">
        <v>2714</v>
      </c>
      <c r="B2715" s="186" t="s">
        <v>309</v>
      </c>
      <c r="C2715" s="186" t="s">
        <v>3045</v>
      </c>
      <c r="D2715" s="186">
        <v>67.900000000000006</v>
      </c>
      <c r="E2715" s="186" t="s">
        <v>152</v>
      </c>
      <c r="F2715" s="186">
        <v>8.99</v>
      </c>
      <c r="G2715" s="186">
        <v>5.5941364030000003</v>
      </c>
    </row>
    <row r="2716" spans="1:7" ht="14.4">
      <c r="A2716" s="186">
        <v>2715</v>
      </c>
      <c r="B2716" s="186" t="s">
        <v>348</v>
      </c>
      <c r="C2716" s="186" t="s">
        <v>3046</v>
      </c>
      <c r="D2716" s="186">
        <v>250.9</v>
      </c>
      <c r="E2716" s="186">
        <v>9.2799999999999994</v>
      </c>
      <c r="F2716" s="186">
        <v>8.99</v>
      </c>
      <c r="G2716" s="186">
        <v>5.5941364030000003</v>
      </c>
    </row>
    <row r="2717" spans="1:7" ht="14.4">
      <c r="A2717" s="186">
        <v>2716</v>
      </c>
      <c r="B2717" s="186" t="s">
        <v>1195</v>
      </c>
      <c r="C2717" s="186" t="s">
        <v>3047</v>
      </c>
      <c r="D2717" s="186">
        <v>21.7</v>
      </c>
      <c r="E2717" s="186">
        <v>9.07</v>
      </c>
      <c r="F2717" s="186">
        <v>8.99</v>
      </c>
      <c r="G2717" s="186">
        <v>5.5941364030000003</v>
      </c>
    </row>
    <row r="2718" spans="1:7" ht="14.4">
      <c r="A2718" s="186">
        <v>2717</v>
      </c>
      <c r="B2718" s="186" t="s">
        <v>340</v>
      </c>
      <c r="C2718" s="186" t="s">
        <v>3048</v>
      </c>
      <c r="D2718" s="187">
        <v>1655.3</v>
      </c>
      <c r="E2718" s="186">
        <v>9.34</v>
      </c>
      <c r="F2718" s="186">
        <v>8.99</v>
      </c>
      <c r="G2718" s="186">
        <v>5.5941364030000003</v>
      </c>
    </row>
    <row r="2719" spans="1:7" ht="14.4">
      <c r="A2719" s="186">
        <v>2718</v>
      </c>
      <c r="B2719" s="186" t="s">
        <v>288</v>
      </c>
      <c r="C2719" s="186" t="s">
        <v>3049</v>
      </c>
      <c r="D2719" s="186">
        <v>707.2</v>
      </c>
      <c r="E2719" s="186">
        <v>9.07</v>
      </c>
      <c r="F2719" s="186">
        <v>9</v>
      </c>
      <c r="G2719" s="186">
        <v>5.6044107680000002</v>
      </c>
    </row>
    <row r="2720" spans="1:7" ht="14.4">
      <c r="A2720" s="186">
        <v>2719</v>
      </c>
      <c r="B2720" s="186" t="s">
        <v>1228</v>
      </c>
      <c r="C2720" s="186" t="s">
        <v>3050</v>
      </c>
      <c r="D2720" s="186">
        <v>106.9</v>
      </c>
      <c r="E2720" s="186">
        <v>9.27</v>
      </c>
      <c r="F2720" s="186">
        <v>9.01</v>
      </c>
      <c r="G2720" s="186">
        <v>5.6147030579999999</v>
      </c>
    </row>
    <row r="2721" spans="1:7" ht="14.4">
      <c r="A2721" s="186">
        <v>2720</v>
      </c>
      <c r="B2721" s="186" t="s">
        <v>1228</v>
      </c>
      <c r="C2721" s="186" t="s">
        <v>3051</v>
      </c>
      <c r="D2721" s="187">
        <v>1709.7</v>
      </c>
      <c r="E2721" s="186">
        <v>9.1</v>
      </c>
      <c r="F2721" s="186">
        <v>9.01</v>
      </c>
      <c r="G2721" s="186">
        <v>5.6147030579999999</v>
      </c>
    </row>
    <row r="2722" spans="1:7" ht="14.4">
      <c r="A2722" s="186">
        <v>2721</v>
      </c>
      <c r="B2722" s="186" t="s">
        <v>415</v>
      </c>
      <c r="C2722" s="186" t="s">
        <v>3052</v>
      </c>
      <c r="D2722" s="187">
        <v>19277.599999999999</v>
      </c>
      <c r="E2722" s="186">
        <v>9.33</v>
      </c>
      <c r="F2722" s="186">
        <v>9.01</v>
      </c>
      <c r="G2722" s="186">
        <v>5.6147030579999999</v>
      </c>
    </row>
    <row r="2723" spans="1:7" ht="14.4">
      <c r="A2723" s="186">
        <v>2722</v>
      </c>
      <c r="B2723" s="186" t="s">
        <v>280</v>
      </c>
      <c r="C2723" s="186" t="s">
        <v>3053</v>
      </c>
      <c r="D2723" s="187">
        <v>3384.6</v>
      </c>
      <c r="E2723" s="186">
        <v>9.24</v>
      </c>
      <c r="F2723" s="186">
        <v>9.01</v>
      </c>
      <c r="G2723" s="186">
        <v>5.6147030579999999</v>
      </c>
    </row>
    <row r="2724" spans="1:7" ht="14.4">
      <c r="A2724" s="186">
        <v>2723</v>
      </c>
      <c r="B2724" s="186" t="s">
        <v>138</v>
      </c>
      <c r="C2724" s="186" t="s">
        <v>3054</v>
      </c>
      <c r="D2724" s="186">
        <v>23.7</v>
      </c>
      <c r="E2724" s="186">
        <v>8.85</v>
      </c>
      <c r="F2724" s="186">
        <v>9.02</v>
      </c>
      <c r="G2724" s="186">
        <v>5.6250133020000002</v>
      </c>
    </row>
    <row r="2725" spans="1:7" ht="14.4">
      <c r="A2725" s="186">
        <v>2724</v>
      </c>
      <c r="B2725" s="186" t="s">
        <v>365</v>
      </c>
      <c r="C2725" s="186" t="s">
        <v>3055</v>
      </c>
      <c r="D2725" s="186">
        <v>13.8</v>
      </c>
      <c r="E2725" s="186">
        <v>9.26</v>
      </c>
      <c r="F2725" s="186">
        <v>9.02</v>
      </c>
      <c r="G2725" s="186">
        <v>5.6250133020000002</v>
      </c>
    </row>
    <row r="2726" spans="1:7" ht="14.4">
      <c r="A2726" s="186">
        <v>2725</v>
      </c>
      <c r="B2726" s="186" t="s">
        <v>1390</v>
      </c>
      <c r="C2726" s="186" t="s">
        <v>3056</v>
      </c>
      <c r="D2726" s="186">
        <v>16.600000000000001</v>
      </c>
      <c r="E2726" s="186">
        <v>9.32</v>
      </c>
      <c r="F2726" s="186">
        <v>9.02</v>
      </c>
      <c r="G2726" s="186">
        <v>5.6250133020000002</v>
      </c>
    </row>
    <row r="2727" spans="1:7" ht="14.4">
      <c r="A2727" s="186">
        <v>2726</v>
      </c>
      <c r="B2727" s="186" t="s">
        <v>553</v>
      </c>
      <c r="C2727" s="186" t="s">
        <v>3057</v>
      </c>
      <c r="D2727" s="187">
        <v>4106.7</v>
      </c>
      <c r="E2727" s="186">
        <v>8.98</v>
      </c>
      <c r="F2727" s="186">
        <v>9.02</v>
      </c>
      <c r="G2727" s="186">
        <v>5.6250133020000002</v>
      </c>
    </row>
    <row r="2728" spans="1:7" ht="14.4">
      <c r="A2728" s="186">
        <v>2727</v>
      </c>
      <c r="B2728" s="186" t="s">
        <v>307</v>
      </c>
      <c r="C2728" s="186" t="s">
        <v>3058</v>
      </c>
      <c r="D2728" s="186">
        <v>72.099999999999994</v>
      </c>
      <c r="E2728" s="186">
        <v>8.93</v>
      </c>
      <c r="F2728" s="186">
        <v>9.0299999999999994</v>
      </c>
      <c r="G2728" s="186">
        <v>5.6353415309999999</v>
      </c>
    </row>
    <row r="2729" spans="1:7" ht="14.4">
      <c r="A2729" s="186">
        <v>2728</v>
      </c>
      <c r="B2729" s="186" t="s">
        <v>1807</v>
      </c>
      <c r="C2729" s="186" t="s">
        <v>3059</v>
      </c>
      <c r="D2729" s="186">
        <v>270</v>
      </c>
      <c r="E2729" s="186">
        <v>9.19</v>
      </c>
      <c r="F2729" s="186">
        <v>9.0299999999999994</v>
      </c>
      <c r="G2729" s="186">
        <v>5.6353415309999999</v>
      </c>
    </row>
    <row r="2730" spans="1:7" ht="14.4">
      <c r="A2730" s="186">
        <v>2729</v>
      </c>
      <c r="B2730" s="186" t="s">
        <v>280</v>
      </c>
      <c r="C2730" s="186" t="s">
        <v>3060</v>
      </c>
      <c r="D2730" s="186">
        <v>130</v>
      </c>
      <c r="E2730" s="186">
        <v>9.6300000000000008</v>
      </c>
      <c r="F2730" s="186">
        <v>9.0299999999999994</v>
      </c>
      <c r="G2730" s="186">
        <v>5.6353415309999999</v>
      </c>
    </row>
    <row r="2731" spans="1:7" ht="14.4">
      <c r="A2731" s="186">
        <v>2730</v>
      </c>
      <c r="B2731" s="186" t="s">
        <v>3061</v>
      </c>
      <c r="C2731" s="186" t="s">
        <v>3062</v>
      </c>
      <c r="D2731" s="186">
        <v>107.4</v>
      </c>
      <c r="E2731" s="186">
        <v>9.2899999999999991</v>
      </c>
      <c r="F2731" s="186">
        <v>9.0299999999999994</v>
      </c>
      <c r="G2731" s="186">
        <v>5.6353415309999999</v>
      </c>
    </row>
    <row r="2732" spans="1:7" ht="14.4">
      <c r="A2732" s="186">
        <v>2731</v>
      </c>
      <c r="B2732" s="186" t="s">
        <v>1228</v>
      </c>
      <c r="C2732" s="186" t="s">
        <v>3063</v>
      </c>
      <c r="D2732" s="187">
        <v>1323</v>
      </c>
      <c r="E2732" s="186">
        <v>9.32</v>
      </c>
      <c r="F2732" s="186">
        <v>9.0399999999999991</v>
      </c>
      <c r="G2732" s="186">
        <v>5.6456877749999999</v>
      </c>
    </row>
    <row r="2733" spans="1:7" ht="14.4">
      <c r="A2733" s="186">
        <v>2732</v>
      </c>
      <c r="B2733" s="186" t="s">
        <v>1228</v>
      </c>
      <c r="C2733" s="186" t="s">
        <v>3064</v>
      </c>
      <c r="D2733" s="187">
        <v>1224.3</v>
      </c>
      <c r="E2733" s="186">
        <v>9.15</v>
      </c>
      <c r="F2733" s="186">
        <v>9.0399999999999991</v>
      </c>
      <c r="G2733" s="186">
        <v>5.6456877749999999</v>
      </c>
    </row>
    <row r="2734" spans="1:7" ht="14.4">
      <c r="A2734" s="186">
        <v>2733</v>
      </c>
      <c r="B2734" s="186" t="s">
        <v>553</v>
      </c>
      <c r="C2734" s="186" t="s">
        <v>3065</v>
      </c>
      <c r="D2734" s="187">
        <v>1632.3</v>
      </c>
      <c r="E2734" s="186">
        <v>9.02</v>
      </c>
      <c r="F2734" s="186">
        <v>9.0500000000000007</v>
      </c>
      <c r="G2734" s="186">
        <v>5.6560520609999996</v>
      </c>
    </row>
    <row r="2735" spans="1:7" ht="14.4">
      <c r="A2735" s="186">
        <v>2734</v>
      </c>
      <c r="B2735" s="186" t="s">
        <v>340</v>
      </c>
      <c r="C2735" s="186" t="s">
        <v>3066</v>
      </c>
      <c r="D2735" s="186">
        <v>148.19999999999999</v>
      </c>
      <c r="E2735" s="186">
        <v>8.7799999999999994</v>
      </c>
      <c r="F2735" s="186">
        <v>9.0500000000000007</v>
      </c>
      <c r="G2735" s="186">
        <v>5.6560520609999996</v>
      </c>
    </row>
    <row r="2736" spans="1:7" ht="14.4">
      <c r="A2736" s="186">
        <v>2735</v>
      </c>
      <c r="B2736" s="186" t="s">
        <v>602</v>
      </c>
      <c r="C2736" s="186" t="s">
        <v>3067</v>
      </c>
      <c r="D2736" s="186">
        <v>47.6</v>
      </c>
      <c r="E2736" s="186">
        <v>9.2100000000000009</v>
      </c>
      <c r="F2736" s="186">
        <v>9.06</v>
      </c>
      <c r="G2736" s="186">
        <v>5.666434422</v>
      </c>
    </row>
    <row r="2737" spans="1:7" ht="14.4">
      <c r="A2737" s="186">
        <v>2736</v>
      </c>
      <c r="B2737" s="186" t="s">
        <v>512</v>
      </c>
      <c r="C2737" s="186" t="s">
        <v>3068</v>
      </c>
      <c r="D2737" s="187">
        <v>3743.9</v>
      </c>
      <c r="E2737" s="186">
        <v>9.34</v>
      </c>
      <c r="F2737" s="186">
        <v>9.06</v>
      </c>
      <c r="G2737" s="186">
        <v>5.666434422</v>
      </c>
    </row>
    <row r="2738" spans="1:7" ht="14.4">
      <c r="A2738" s="186">
        <v>2737</v>
      </c>
      <c r="B2738" s="186" t="s">
        <v>2307</v>
      </c>
      <c r="C2738" s="186" t="s">
        <v>3069</v>
      </c>
      <c r="D2738" s="186">
        <v>16.3</v>
      </c>
      <c r="E2738" s="186">
        <v>9.25</v>
      </c>
      <c r="F2738" s="186">
        <v>9.06</v>
      </c>
      <c r="G2738" s="186">
        <v>5.666434422</v>
      </c>
    </row>
    <row r="2739" spans="1:7" ht="14.4">
      <c r="A2739" s="186">
        <v>2738</v>
      </c>
      <c r="B2739" s="186" t="s">
        <v>553</v>
      </c>
      <c r="C2739" s="186" t="s">
        <v>3070</v>
      </c>
      <c r="D2739" s="186">
        <v>495.4</v>
      </c>
      <c r="E2739" s="186">
        <v>9.0500000000000007</v>
      </c>
      <c r="F2739" s="186">
        <v>9.07</v>
      </c>
      <c r="G2739" s="186">
        <v>5.676834886</v>
      </c>
    </row>
    <row r="2740" spans="1:7" ht="14.4">
      <c r="A2740" s="186">
        <v>2739</v>
      </c>
      <c r="B2740" s="186" t="s">
        <v>1674</v>
      </c>
      <c r="C2740" s="186" t="s">
        <v>3071</v>
      </c>
      <c r="D2740" s="186">
        <v>250.8</v>
      </c>
      <c r="E2740" s="186">
        <v>9.0399999999999991</v>
      </c>
      <c r="F2740" s="186">
        <v>9.07</v>
      </c>
      <c r="G2740" s="186">
        <v>5.676834886</v>
      </c>
    </row>
    <row r="2741" spans="1:7" ht="14.4">
      <c r="A2741" s="186">
        <v>2740</v>
      </c>
      <c r="B2741" s="186" t="s">
        <v>483</v>
      </c>
      <c r="C2741" s="186" t="s">
        <v>3072</v>
      </c>
      <c r="D2741" s="187">
        <v>15669.6</v>
      </c>
      <c r="E2741" s="186">
        <v>8.66</v>
      </c>
      <c r="F2741" s="186">
        <v>9.08</v>
      </c>
      <c r="G2741" s="186">
        <v>5.6872534840000002</v>
      </c>
    </row>
    <row r="2742" spans="1:7" ht="14.4">
      <c r="A2742" s="186">
        <v>2741</v>
      </c>
      <c r="B2742" s="186" t="s">
        <v>365</v>
      </c>
      <c r="C2742" s="186" t="s">
        <v>3073</v>
      </c>
      <c r="D2742" s="186">
        <v>98.5</v>
      </c>
      <c r="E2742" s="186">
        <v>9.48</v>
      </c>
      <c r="F2742" s="186">
        <v>9.08</v>
      </c>
      <c r="G2742" s="186">
        <v>5.6872534840000002</v>
      </c>
    </row>
    <row r="2743" spans="1:7" ht="14.4">
      <c r="A2743" s="186">
        <v>2742</v>
      </c>
      <c r="B2743" s="186" t="s">
        <v>158</v>
      </c>
      <c r="C2743" s="186" t="s">
        <v>3074</v>
      </c>
      <c r="D2743" s="186">
        <v>267.3</v>
      </c>
      <c r="E2743" s="186">
        <v>9.2200000000000006</v>
      </c>
      <c r="F2743" s="186">
        <v>9.08</v>
      </c>
      <c r="G2743" s="186">
        <v>5.6872534840000002</v>
      </c>
    </row>
    <row r="2744" spans="1:7" ht="14.4">
      <c r="A2744" s="186">
        <v>2743</v>
      </c>
      <c r="B2744" s="186" t="s">
        <v>340</v>
      </c>
      <c r="C2744" s="186" t="s">
        <v>3075</v>
      </c>
      <c r="D2744" s="187">
        <v>1180.2</v>
      </c>
      <c r="E2744" s="186">
        <v>9.42</v>
      </c>
      <c r="F2744" s="186">
        <v>9.08</v>
      </c>
      <c r="G2744" s="186">
        <v>5.6872534840000002</v>
      </c>
    </row>
    <row r="2745" spans="1:7" ht="14.4">
      <c r="A2745" s="186">
        <v>2744</v>
      </c>
      <c r="B2745" s="186" t="s">
        <v>234</v>
      </c>
      <c r="C2745" s="186" t="s">
        <v>3076</v>
      </c>
      <c r="D2745" s="186">
        <v>82.5</v>
      </c>
      <c r="E2745" s="186">
        <v>9.5399999999999991</v>
      </c>
      <c r="F2745" s="186">
        <v>9.09</v>
      </c>
      <c r="G2745" s="186">
        <v>5.6976902440000003</v>
      </c>
    </row>
    <row r="2746" spans="1:7" ht="14.4">
      <c r="A2746" s="186">
        <v>2745</v>
      </c>
      <c r="B2746" s="186" t="s">
        <v>138</v>
      </c>
      <c r="C2746" s="186" t="s">
        <v>3077</v>
      </c>
      <c r="D2746" s="187">
        <v>2315.3000000000002</v>
      </c>
      <c r="E2746" s="186">
        <v>9.26</v>
      </c>
      <c r="F2746" s="186">
        <v>9.09</v>
      </c>
      <c r="G2746" s="186">
        <v>5.6976902440000003</v>
      </c>
    </row>
    <row r="2747" spans="1:7" ht="14.4">
      <c r="A2747" s="186">
        <v>2746</v>
      </c>
      <c r="B2747" s="186" t="s">
        <v>252</v>
      </c>
      <c r="C2747" s="186" t="s">
        <v>3078</v>
      </c>
      <c r="D2747" s="186">
        <v>50.6</v>
      </c>
      <c r="E2747" s="186">
        <v>9.07</v>
      </c>
      <c r="F2747" s="186">
        <v>9.09</v>
      </c>
      <c r="G2747" s="186">
        <v>5.6976902440000003</v>
      </c>
    </row>
    <row r="2748" spans="1:7" ht="14.4">
      <c r="A2748" s="186">
        <v>2747</v>
      </c>
      <c r="B2748" s="186" t="s">
        <v>146</v>
      </c>
      <c r="C2748" s="186" t="s">
        <v>3079</v>
      </c>
      <c r="D2748" s="186">
        <v>92.4</v>
      </c>
      <c r="E2748" s="186">
        <v>9.31</v>
      </c>
      <c r="F2748" s="186">
        <v>9.09</v>
      </c>
      <c r="G2748" s="186">
        <v>5.6976902440000003</v>
      </c>
    </row>
    <row r="2749" spans="1:7" ht="14.4">
      <c r="A2749" s="186">
        <v>2748</v>
      </c>
      <c r="B2749" s="186" t="s">
        <v>553</v>
      </c>
      <c r="C2749" s="186" t="s">
        <v>3080</v>
      </c>
      <c r="D2749" s="187">
        <v>4122</v>
      </c>
      <c r="E2749" s="186">
        <v>9.06</v>
      </c>
      <c r="F2749" s="186">
        <v>9.09</v>
      </c>
      <c r="G2749" s="186">
        <v>5.6976902440000003</v>
      </c>
    </row>
    <row r="2750" spans="1:7" ht="14.4">
      <c r="A2750" s="186">
        <v>2749</v>
      </c>
      <c r="B2750" s="186" t="s">
        <v>553</v>
      </c>
      <c r="C2750" s="186" t="s">
        <v>3081</v>
      </c>
      <c r="D2750" s="187">
        <v>2694.1</v>
      </c>
      <c r="E2750" s="186">
        <v>9.0500000000000007</v>
      </c>
      <c r="F2750" s="186">
        <v>9.09</v>
      </c>
      <c r="G2750" s="186">
        <v>5.6976902440000003</v>
      </c>
    </row>
    <row r="2751" spans="1:7" ht="14.4">
      <c r="A2751" s="186">
        <v>2750</v>
      </c>
      <c r="B2751" s="186" t="s">
        <v>271</v>
      </c>
      <c r="C2751" s="186" t="s">
        <v>3082</v>
      </c>
      <c r="D2751" s="186">
        <v>157.4</v>
      </c>
      <c r="E2751" s="186">
        <v>9.33</v>
      </c>
      <c r="F2751" s="186">
        <v>9.1</v>
      </c>
      <c r="G2751" s="186">
        <v>5.7081451989999996</v>
      </c>
    </row>
    <row r="2752" spans="1:7" ht="14.4">
      <c r="A2752" s="186">
        <v>2751</v>
      </c>
      <c r="B2752" s="186" t="s">
        <v>536</v>
      </c>
      <c r="C2752" s="186" t="s">
        <v>3083</v>
      </c>
      <c r="D2752" s="187">
        <v>8885</v>
      </c>
      <c r="E2752" s="186">
        <v>9.26</v>
      </c>
      <c r="F2752" s="186">
        <v>9.1</v>
      </c>
      <c r="G2752" s="186">
        <v>5.7081451989999996</v>
      </c>
    </row>
    <row r="2753" spans="1:7" ht="14.4">
      <c r="A2753" s="186">
        <v>2752</v>
      </c>
      <c r="B2753" s="186" t="s">
        <v>263</v>
      </c>
      <c r="C2753" s="186" t="s">
        <v>3084</v>
      </c>
      <c r="D2753" s="187">
        <v>4138</v>
      </c>
      <c r="E2753" s="186">
        <v>8.89</v>
      </c>
      <c r="F2753" s="186">
        <v>9.11</v>
      </c>
      <c r="G2753" s="186">
        <v>5.7186183760000002</v>
      </c>
    </row>
    <row r="2754" spans="1:7" ht="14.4">
      <c r="A2754" s="186">
        <v>2753</v>
      </c>
      <c r="B2754" s="186" t="s">
        <v>3085</v>
      </c>
      <c r="C2754" s="186" t="s">
        <v>3086</v>
      </c>
      <c r="D2754" s="186">
        <v>9.4</v>
      </c>
      <c r="E2754" s="186">
        <v>9.07</v>
      </c>
      <c r="F2754" s="186">
        <v>9.11</v>
      </c>
      <c r="G2754" s="186">
        <v>5.7186183760000002</v>
      </c>
    </row>
    <row r="2755" spans="1:7" ht="14.4">
      <c r="A2755" s="186">
        <v>2754</v>
      </c>
      <c r="B2755" s="186" t="s">
        <v>158</v>
      </c>
      <c r="C2755" s="186" t="s">
        <v>3087</v>
      </c>
      <c r="D2755" s="186">
        <v>39.700000000000003</v>
      </c>
      <c r="E2755" s="186">
        <v>9.25</v>
      </c>
      <c r="F2755" s="186">
        <v>9.11</v>
      </c>
      <c r="G2755" s="186">
        <v>5.7186183760000002</v>
      </c>
    </row>
    <row r="2756" spans="1:7" ht="14.4">
      <c r="A2756" s="186">
        <v>2755</v>
      </c>
      <c r="B2756" s="186" t="s">
        <v>3088</v>
      </c>
      <c r="C2756" s="186" t="s">
        <v>3089</v>
      </c>
      <c r="D2756" s="187">
        <v>66135.7</v>
      </c>
      <c r="E2756" s="186">
        <v>9.4499999999999993</v>
      </c>
      <c r="F2756" s="186">
        <v>9.1199999999999992</v>
      </c>
      <c r="G2756" s="186">
        <v>5.7291098070000004</v>
      </c>
    </row>
    <row r="2757" spans="1:7" ht="14.4">
      <c r="A2757" s="186">
        <v>2756</v>
      </c>
      <c r="B2757" s="186" t="s">
        <v>175</v>
      </c>
      <c r="C2757" s="186" t="s">
        <v>3090</v>
      </c>
      <c r="D2757" s="186">
        <v>406.7</v>
      </c>
      <c r="E2757" s="186">
        <v>9.44</v>
      </c>
      <c r="F2757" s="186">
        <v>9.1199999999999992</v>
      </c>
      <c r="G2757" s="186">
        <v>5.7291098070000004</v>
      </c>
    </row>
    <row r="2758" spans="1:7" ht="14.4">
      <c r="A2758" s="186">
        <v>2757</v>
      </c>
      <c r="B2758" s="186" t="s">
        <v>263</v>
      </c>
      <c r="C2758" s="186" t="s">
        <v>3091</v>
      </c>
      <c r="D2758" s="186">
        <v>759.9</v>
      </c>
      <c r="E2758" s="186">
        <v>8.94</v>
      </c>
      <c r="F2758" s="186">
        <v>9.1199999999999992</v>
      </c>
      <c r="G2758" s="186">
        <v>5.7291098070000004</v>
      </c>
    </row>
    <row r="2759" spans="1:7" ht="14.4">
      <c r="A2759" s="186">
        <v>2758</v>
      </c>
      <c r="B2759" s="186" t="s">
        <v>663</v>
      </c>
      <c r="C2759" s="186" t="s">
        <v>3092</v>
      </c>
      <c r="D2759" s="186">
        <v>634.4</v>
      </c>
      <c r="E2759" s="186">
        <v>9.41</v>
      </c>
      <c r="F2759" s="186">
        <v>9.1199999999999992</v>
      </c>
      <c r="G2759" s="186">
        <v>5.7291098070000004</v>
      </c>
    </row>
    <row r="2760" spans="1:7" ht="14.4">
      <c r="A2760" s="186">
        <v>2759</v>
      </c>
      <c r="B2760" s="186" t="s">
        <v>1228</v>
      </c>
      <c r="C2760" s="186" t="s">
        <v>3093</v>
      </c>
      <c r="D2760" s="186">
        <v>133.9</v>
      </c>
      <c r="E2760" s="186">
        <v>9.18</v>
      </c>
      <c r="F2760" s="186">
        <v>9.1300000000000008</v>
      </c>
      <c r="G2760" s="186">
        <v>5.7396195219999999</v>
      </c>
    </row>
    <row r="2761" spans="1:7" ht="14.4">
      <c r="A2761" s="186">
        <v>2760</v>
      </c>
      <c r="B2761" s="186" t="s">
        <v>146</v>
      </c>
      <c r="C2761" s="186" t="s">
        <v>3094</v>
      </c>
      <c r="D2761" s="186">
        <v>749.8</v>
      </c>
      <c r="E2761" s="186">
        <v>8.85</v>
      </c>
      <c r="F2761" s="186">
        <v>9.1300000000000008</v>
      </c>
      <c r="G2761" s="186">
        <v>5.7396195219999999</v>
      </c>
    </row>
    <row r="2762" spans="1:7" ht="14.4">
      <c r="A2762" s="186">
        <v>2761</v>
      </c>
      <c r="B2762" s="186" t="s">
        <v>146</v>
      </c>
      <c r="C2762" s="186" t="s">
        <v>3095</v>
      </c>
      <c r="D2762" s="186">
        <v>608.9</v>
      </c>
      <c r="E2762" s="186">
        <v>9.16</v>
      </c>
      <c r="F2762" s="186">
        <v>9.1300000000000008</v>
      </c>
      <c r="G2762" s="186">
        <v>5.7396195219999999</v>
      </c>
    </row>
    <row r="2763" spans="1:7" ht="14.4">
      <c r="A2763" s="186">
        <v>2762</v>
      </c>
      <c r="B2763" s="186" t="s">
        <v>118</v>
      </c>
      <c r="C2763" s="186" t="s">
        <v>3096</v>
      </c>
      <c r="D2763" s="186">
        <v>26.3</v>
      </c>
      <c r="E2763" s="186">
        <v>9.36</v>
      </c>
      <c r="F2763" s="186">
        <v>9.1300000000000008</v>
      </c>
      <c r="G2763" s="186">
        <v>5.7396195219999999</v>
      </c>
    </row>
    <row r="2764" spans="1:7" ht="14.4">
      <c r="A2764" s="186">
        <v>2763</v>
      </c>
      <c r="B2764" s="186" t="s">
        <v>834</v>
      </c>
      <c r="C2764" s="186" t="s">
        <v>3097</v>
      </c>
      <c r="D2764" s="186">
        <v>229</v>
      </c>
      <c r="E2764" s="186">
        <v>9.11</v>
      </c>
      <c r="F2764" s="186">
        <v>9.1300000000000008</v>
      </c>
      <c r="G2764" s="186">
        <v>5.7396195219999999</v>
      </c>
    </row>
    <row r="2765" spans="1:7" ht="14.4">
      <c r="A2765" s="186">
        <v>2764</v>
      </c>
      <c r="B2765" s="186" t="s">
        <v>1319</v>
      </c>
      <c r="C2765" s="186" t="s">
        <v>3098</v>
      </c>
      <c r="D2765" s="186">
        <v>30.4</v>
      </c>
      <c r="E2765" s="186">
        <v>9.69</v>
      </c>
      <c r="F2765" s="186">
        <v>9.1300000000000008</v>
      </c>
      <c r="G2765" s="186">
        <v>5.7396195219999999</v>
      </c>
    </row>
    <row r="2766" spans="1:7" ht="14.4">
      <c r="A2766" s="186">
        <v>2765</v>
      </c>
      <c r="B2766" s="186" t="s">
        <v>175</v>
      </c>
      <c r="C2766" s="186" t="s">
        <v>3099</v>
      </c>
      <c r="D2766" s="186">
        <v>88.3</v>
      </c>
      <c r="E2766" s="186">
        <v>9.34</v>
      </c>
      <c r="F2766" s="186">
        <v>9.14</v>
      </c>
      <c r="G2766" s="186">
        <v>5.7501475500000003</v>
      </c>
    </row>
    <row r="2767" spans="1:7" ht="14.4">
      <c r="A2767" s="186">
        <v>2766</v>
      </c>
      <c r="B2767" s="186" t="s">
        <v>536</v>
      </c>
      <c r="C2767" s="186" t="s">
        <v>3100</v>
      </c>
      <c r="D2767" s="186">
        <v>605.5</v>
      </c>
      <c r="E2767" s="186">
        <v>9.2899999999999991</v>
      </c>
      <c r="F2767" s="186">
        <v>9.14</v>
      </c>
      <c r="G2767" s="186">
        <v>5.7501475500000003</v>
      </c>
    </row>
    <row r="2768" spans="1:7" ht="14.4">
      <c r="A2768" s="186">
        <v>2767</v>
      </c>
      <c r="B2768" s="186" t="s">
        <v>553</v>
      </c>
      <c r="C2768" s="186" t="s">
        <v>3101</v>
      </c>
      <c r="D2768" s="186">
        <v>241.6</v>
      </c>
      <c r="E2768" s="186">
        <v>9.4499999999999993</v>
      </c>
      <c r="F2768" s="186">
        <v>9.14</v>
      </c>
      <c r="G2768" s="186">
        <v>5.7501475500000003</v>
      </c>
    </row>
    <row r="2769" spans="1:7" ht="14.4">
      <c r="A2769" s="186">
        <v>2768</v>
      </c>
      <c r="B2769" s="186" t="s">
        <v>663</v>
      </c>
      <c r="C2769" s="186" t="s">
        <v>3102</v>
      </c>
      <c r="D2769" s="186">
        <v>97.4</v>
      </c>
      <c r="E2769" s="186">
        <v>9.23</v>
      </c>
      <c r="F2769" s="186">
        <v>9.15</v>
      </c>
      <c r="G2769" s="186">
        <v>5.7606939229999998</v>
      </c>
    </row>
    <row r="2770" spans="1:7" ht="14.4">
      <c r="A2770" s="186">
        <v>2769</v>
      </c>
      <c r="B2770" s="186" t="s">
        <v>153</v>
      </c>
      <c r="C2770" s="186" t="s">
        <v>3103</v>
      </c>
      <c r="D2770" s="186">
        <v>373.2</v>
      </c>
      <c r="E2770" s="186">
        <v>9.36</v>
      </c>
      <c r="F2770" s="186">
        <v>9.16</v>
      </c>
      <c r="G2770" s="186">
        <v>5.7712586699999999</v>
      </c>
    </row>
    <row r="2771" spans="1:7" ht="14.4">
      <c r="A2771" s="186">
        <v>2770</v>
      </c>
      <c r="B2771" s="186" t="s">
        <v>164</v>
      </c>
      <c r="C2771" s="186" t="s">
        <v>3104</v>
      </c>
      <c r="D2771" s="187">
        <v>1576</v>
      </c>
      <c r="E2771" s="186">
        <v>9.4</v>
      </c>
      <c r="F2771" s="186">
        <v>9.16</v>
      </c>
      <c r="G2771" s="186">
        <v>5.7712586699999999</v>
      </c>
    </row>
    <row r="2772" spans="1:7" ht="14.4">
      <c r="A2772" s="186">
        <v>2771</v>
      </c>
      <c r="B2772" s="186" t="s">
        <v>317</v>
      </c>
      <c r="C2772" s="186" t="s">
        <v>3105</v>
      </c>
      <c r="D2772" s="187">
        <v>1077.0999999999999</v>
      </c>
      <c r="E2772" s="186">
        <v>9.02</v>
      </c>
      <c r="F2772" s="186">
        <v>9.16</v>
      </c>
      <c r="G2772" s="186">
        <v>5.7712586699999999</v>
      </c>
    </row>
    <row r="2773" spans="1:7" ht="14.4">
      <c r="A2773" s="186">
        <v>2772</v>
      </c>
      <c r="B2773" s="186" t="s">
        <v>138</v>
      </c>
      <c r="C2773" s="186" t="s">
        <v>3106</v>
      </c>
      <c r="D2773" s="186">
        <v>178.9</v>
      </c>
      <c r="E2773" s="186">
        <v>9.34</v>
      </c>
      <c r="F2773" s="186">
        <v>9.17</v>
      </c>
      <c r="G2773" s="186">
        <v>5.7818418210000004</v>
      </c>
    </row>
    <row r="2774" spans="1:7" ht="14.4">
      <c r="A2774" s="186">
        <v>2773</v>
      </c>
      <c r="B2774" s="186" t="s">
        <v>263</v>
      </c>
      <c r="C2774" s="186" t="s">
        <v>3107</v>
      </c>
      <c r="D2774" s="186">
        <v>240.6</v>
      </c>
      <c r="E2774" s="186">
        <v>9.18</v>
      </c>
      <c r="F2774" s="186">
        <v>9.17</v>
      </c>
      <c r="G2774" s="186">
        <v>5.7818418210000004</v>
      </c>
    </row>
    <row r="2775" spans="1:7" ht="14.4">
      <c r="A2775" s="186">
        <v>2774</v>
      </c>
      <c r="B2775" s="186" t="s">
        <v>280</v>
      </c>
      <c r="C2775" s="186" t="s">
        <v>3108</v>
      </c>
      <c r="D2775" s="186">
        <v>518.79999999999995</v>
      </c>
      <c r="E2775" s="186">
        <v>9.27</v>
      </c>
      <c r="F2775" s="186">
        <v>9.17</v>
      </c>
      <c r="G2775" s="186">
        <v>5.7818418210000004</v>
      </c>
    </row>
    <row r="2776" spans="1:7" ht="14.4">
      <c r="A2776" s="186">
        <v>2775</v>
      </c>
      <c r="B2776" s="186" t="s">
        <v>422</v>
      </c>
      <c r="C2776" s="186" t="s">
        <v>3109</v>
      </c>
      <c r="D2776" s="186">
        <v>14.5</v>
      </c>
      <c r="E2776" s="186">
        <v>9.51</v>
      </c>
      <c r="F2776" s="186">
        <v>9.18</v>
      </c>
      <c r="G2776" s="186">
        <v>5.7924434070000004</v>
      </c>
    </row>
    <row r="2777" spans="1:7" ht="14.4">
      <c r="A2777" s="186">
        <v>2776</v>
      </c>
      <c r="B2777" s="186" t="s">
        <v>175</v>
      </c>
      <c r="C2777" s="186" t="s">
        <v>3110</v>
      </c>
      <c r="D2777" s="186">
        <v>554.5</v>
      </c>
      <c r="E2777" s="186">
        <v>9.19</v>
      </c>
      <c r="F2777" s="186">
        <v>9.19</v>
      </c>
      <c r="G2777" s="186">
        <v>5.8030634589999996</v>
      </c>
    </row>
    <row r="2778" spans="1:7" ht="14.4">
      <c r="A2778" s="186">
        <v>2777</v>
      </c>
      <c r="B2778" s="186" t="s">
        <v>3111</v>
      </c>
      <c r="C2778" s="186" t="s">
        <v>3112</v>
      </c>
      <c r="D2778" s="186">
        <v>517.9</v>
      </c>
      <c r="E2778" s="186">
        <v>9.17</v>
      </c>
      <c r="F2778" s="186">
        <v>9.19</v>
      </c>
      <c r="G2778" s="186">
        <v>5.8030634589999996</v>
      </c>
    </row>
    <row r="2779" spans="1:7" ht="14.4">
      <c r="A2779" s="186">
        <v>2778</v>
      </c>
      <c r="B2779" s="186" t="s">
        <v>1323</v>
      </c>
      <c r="C2779" s="186" t="s">
        <v>3113</v>
      </c>
      <c r="D2779" s="186">
        <v>258.60000000000002</v>
      </c>
      <c r="E2779" s="186">
        <v>9.4</v>
      </c>
      <c r="F2779" s="186">
        <v>9.19</v>
      </c>
      <c r="G2779" s="186">
        <v>5.8030634589999996</v>
      </c>
    </row>
    <row r="2780" spans="1:7" ht="14.4">
      <c r="A2780" s="186">
        <v>2779</v>
      </c>
      <c r="B2780" s="186" t="s">
        <v>565</v>
      </c>
      <c r="C2780" s="186" t="s">
        <v>3114</v>
      </c>
      <c r="D2780" s="186">
        <v>272</v>
      </c>
      <c r="E2780" s="186">
        <v>9.3699999999999992</v>
      </c>
      <c r="F2780" s="186">
        <v>9.19</v>
      </c>
      <c r="G2780" s="186">
        <v>5.8030634589999996</v>
      </c>
    </row>
    <row r="2781" spans="1:7" ht="14.4">
      <c r="A2781" s="186">
        <v>2780</v>
      </c>
      <c r="B2781" s="186" t="s">
        <v>178</v>
      </c>
      <c r="C2781" s="186" t="s">
        <v>3115</v>
      </c>
      <c r="D2781" s="186">
        <v>70.2</v>
      </c>
      <c r="E2781" s="186">
        <v>9.74</v>
      </c>
      <c r="F2781" s="186">
        <v>9.1999999999999993</v>
      </c>
      <c r="G2781" s="186">
        <v>5.8137020069999998</v>
      </c>
    </row>
    <row r="2782" spans="1:7" ht="14.4">
      <c r="A2782" s="186">
        <v>2781</v>
      </c>
      <c r="B2782" s="186" t="s">
        <v>365</v>
      </c>
      <c r="C2782" s="186" t="s">
        <v>3116</v>
      </c>
      <c r="D2782" s="186">
        <v>216.7</v>
      </c>
      <c r="E2782" s="186">
        <v>9.1300000000000008</v>
      </c>
      <c r="F2782" s="186">
        <v>9.1999999999999993</v>
      </c>
      <c r="G2782" s="186">
        <v>5.8137020069999998</v>
      </c>
    </row>
    <row r="2783" spans="1:7" ht="14.4">
      <c r="A2783" s="186">
        <v>2782</v>
      </c>
      <c r="B2783" s="186" t="s">
        <v>280</v>
      </c>
      <c r="C2783" s="186" t="s">
        <v>3117</v>
      </c>
      <c r="D2783" s="186">
        <v>28.4</v>
      </c>
      <c r="E2783" s="186">
        <v>10.119999999999999</v>
      </c>
      <c r="F2783" s="186">
        <v>9.1999999999999993</v>
      </c>
      <c r="G2783" s="186">
        <v>5.8137020069999998</v>
      </c>
    </row>
    <row r="2784" spans="1:7" ht="14.4">
      <c r="A2784" s="186">
        <v>2783</v>
      </c>
      <c r="B2784" s="186" t="s">
        <v>565</v>
      </c>
      <c r="C2784" s="186" t="s">
        <v>3118</v>
      </c>
      <c r="D2784" s="186">
        <v>538.70000000000005</v>
      </c>
      <c r="E2784" s="186">
        <v>9.51</v>
      </c>
      <c r="F2784" s="186">
        <v>9.1999999999999993</v>
      </c>
      <c r="G2784" s="186">
        <v>5.8137020069999998</v>
      </c>
    </row>
    <row r="2785" spans="1:7" ht="14.4">
      <c r="A2785" s="186">
        <v>2784</v>
      </c>
      <c r="B2785" s="186" t="s">
        <v>178</v>
      </c>
      <c r="C2785" s="186" t="s">
        <v>3119</v>
      </c>
      <c r="D2785" s="186">
        <v>15.4</v>
      </c>
      <c r="E2785" s="186">
        <v>9.48</v>
      </c>
      <c r="F2785" s="186">
        <v>9.2100000000000009</v>
      </c>
      <c r="G2785" s="186">
        <v>5.8243590809999999</v>
      </c>
    </row>
    <row r="2786" spans="1:7" ht="14.4">
      <c r="A2786" s="186">
        <v>2785</v>
      </c>
      <c r="B2786" s="186" t="s">
        <v>178</v>
      </c>
      <c r="C2786" s="186" t="s">
        <v>3120</v>
      </c>
      <c r="D2786" s="186">
        <v>202.3</v>
      </c>
      <c r="E2786" s="186">
        <v>9.48</v>
      </c>
      <c r="F2786" s="186">
        <v>9.2100000000000009</v>
      </c>
      <c r="G2786" s="186">
        <v>5.8243590809999999</v>
      </c>
    </row>
    <row r="2787" spans="1:7" ht="14.4">
      <c r="A2787" s="186">
        <v>2786</v>
      </c>
      <c r="B2787" s="186" t="s">
        <v>178</v>
      </c>
      <c r="C2787" s="186" t="s">
        <v>3121</v>
      </c>
      <c r="D2787" s="186">
        <v>185.6</v>
      </c>
      <c r="E2787" s="186">
        <v>9.16</v>
      </c>
      <c r="F2787" s="186">
        <v>9.2100000000000009</v>
      </c>
      <c r="G2787" s="186">
        <v>5.8243590809999999</v>
      </c>
    </row>
    <row r="2788" spans="1:7" ht="14.4">
      <c r="A2788" s="186">
        <v>2787</v>
      </c>
      <c r="B2788" s="186" t="s">
        <v>286</v>
      </c>
      <c r="C2788" s="186" t="s">
        <v>3122</v>
      </c>
      <c r="D2788" s="187">
        <v>2168.6</v>
      </c>
      <c r="E2788" s="186">
        <v>9.49</v>
      </c>
      <c r="F2788" s="186">
        <v>9.2100000000000009</v>
      </c>
      <c r="G2788" s="186">
        <v>5.8243590809999999</v>
      </c>
    </row>
    <row r="2789" spans="1:7" ht="14.4">
      <c r="A2789" s="186">
        <v>2788</v>
      </c>
      <c r="B2789" s="186" t="s">
        <v>2662</v>
      </c>
      <c r="C2789" s="186" t="s">
        <v>3123</v>
      </c>
      <c r="D2789" s="186">
        <v>201.2</v>
      </c>
      <c r="E2789" s="186">
        <v>9.49</v>
      </c>
      <c r="F2789" s="186">
        <v>9.2100000000000009</v>
      </c>
      <c r="G2789" s="186">
        <v>5.8243590809999999</v>
      </c>
    </row>
    <row r="2790" spans="1:7" ht="14.4">
      <c r="A2790" s="186">
        <v>2789</v>
      </c>
      <c r="B2790" s="186" t="s">
        <v>340</v>
      </c>
      <c r="C2790" s="186" t="s">
        <v>3124</v>
      </c>
      <c r="D2790" s="186">
        <v>29.7</v>
      </c>
      <c r="E2790" s="186">
        <v>9.27</v>
      </c>
      <c r="F2790" s="186">
        <v>9.2100000000000009</v>
      </c>
      <c r="G2790" s="186">
        <v>5.8243590809999999</v>
      </c>
    </row>
    <row r="2791" spans="1:7" ht="14.4">
      <c r="A2791" s="186">
        <v>2790</v>
      </c>
      <c r="B2791" s="186" t="s">
        <v>1228</v>
      </c>
      <c r="C2791" s="186" t="s">
        <v>3125</v>
      </c>
      <c r="D2791" s="186">
        <v>311.7</v>
      </c>
      <c r="E2791" s="186">
        <v>9.48</v>
      </c>
      <c r="F2791" s="186">
        <v>9.2200000000000006</v>
      </c>
      <c r="G2791" s="186">
        <v>5.8350347119999997</v>
      </c>
    </row>
    <row r="2792" spans="1:7" ht="14.4">
      <c r="A2792" s="186">
        <v>2791</v>
      </c>
      <c r="B2792" s="186" t="s">
        <v>477</v>
      </c>
      <c r="C2792" s="186" t="s">
        <v>3126</v>
      </c>
      <c r="D2792" s="187">
        <v>1140.5999999999999</v>
      </c>
      <c r="E2792" s="186">
        <v>9.1</v>
      </c>
      <c r="F2792" s="186">
        <v>9.2200000000000006</v>
      </c>
      <c r="G2792" s="186">
        <v>5.8350347119999997</v>
      </c>
    </row>
    <row r="2793" spans="1:7" ht="14.4">
      <c r="A2793" s="186">
        <v>2792</v>
      </c>
      <c r="B2793" s="186" t="s">
        <v>2307</v>
      </c>
      <c r="C2793" s="186" t="s">
        <v>3127</v>
      </c>
      <c r="D2793" s="187">
        <v>1730.8</v>
      </c>
      <c r="E2793" s="186">
        <v>9.33</v>
      </c>
      <c r="F2793" s="186">
        <v>9.2200000000000006</v>
      </c>
      <c r="G2793" s="186">
        <v>5.8350347119999997</v>
      </c>
    </row>
    <row r="2794" spans="1:7" ht="14.4">
      <c r="A2794" s="186">
        <v>2793</v>
      </c>
      <c r="B2794" s="186" t="s">
        <v>178</v>
      </c>
      <c r="C2794" s="186" t="s">
        <v>3128</v>
      </c>
      <c r="D2794" s="186">
        <v>3.2</v>
      </c>
      <c r="E2794" s="186">
        <v>9.5</v>
      </c>
      <c r="F2794" s="186">
        <v>9.23</v>
      </c>
      <c r="G2794" s="186">
        <v>5.845728931</v>
      </c>
    </row>
    <row r="2795" spans="1:7" ht="14.4">
      <c r="A2795" s="186">
        <v>2794</v>
      </c>
      <c r="B2795" s="186" t="s">
        <v>226</v>
      </c>
      <c r="C2795" s="186" t="s">
        <v>3129</v>
      </c>
      <c r="D2795" s="186">
        <v>101.6</v>
      </c>
      <c r="E2795" s="186">
        <v>9.27</v>
      </c>
      <c r="F2795" s="186">
        <v>9.23</v>
      </c>
      <c r="G2795" s="186">
        <v>5.845728931</v>
      </c>
    </row>
    <row r="2796" spans="1:7" ht="14.4">
      <c r="A2796" s="186">
        <v>2795</v>
      </c>
      <c r="B2796" s="186" t="s">
        <v>365</v>
      </c>
      <c r="C2796" s="186" t="s">
        <v>3130</v>
      </c>
      <c r="D2796" s="187">
        <v>1298.4000000000001</v>
      </c>
      <c r="E2796" s="186">
        <v>9.56</v>
      </c>
      <c r="F2796" s="186">
        <v>9.23</v>
      </c>
      <c r="G2796" s="186">
        <v>5.845728931</v>
      </c>
    </row>
    <row r="2797" spans="1:7" ht="14.4">
      <c r="A2797" s="186">
        <v>2796</v>
      </c>
      <c r="B2797" s="186" t="s">
        <v>365</v>
      </c>
      <c r="C2797" s="186" t="s">
        <v>3131</v>
      </c>
      <c r="D2797" s="187">
        <v>1196</v>
      </c>
      <c r="E2797" s="186">
        <v>9.56</v>
      </c>
      <c r="F2797" s="186">
        <v>9.23</v>
      </c>
      <c r="G2797" s="186">
        <v>5.845728931</v>
      </c>
    </row>
    <row r="2798" spans="1:7" ht="14.4">
      <c r="A2798" s="186">
        <v>2797</v>
      </c>
      <c r="B2798" s="186" t="s">
        <v>365</v>
      </c>
      <c r="C2798" s="186" t="s">
        <v>3132</v>
      </c>
      <c r="D2798" s="186">
        <v>76.8</v>
      </c>
      <c r="E2798" s="186">
        <v>9.4700000000000006</v>
      </c>
      <c r="F2798" s="186">
        <v>9.23</v>
      </c>
      <c r="G2798" s="186">
        <v>5.845728931</v>
      </c>
    </row>
    <row r="2799" spans="1:7" ht="14.4">
      <c r="A2799" s="186">
        <v>2798</v>
      </c>
      <c r="B2799" s="186" t="s">
        <v>834</v>
      </c>
      <c r="C2799" s="186" t="s">
        <v>3133</v>
      </c>
      <c r="D2799" s="187">
        <v>1508.2</v>
      </c>
      <c r="E2799" s="186">
        <v>9.17</v>
      </c>
      <c r="F2799" s="186">
        <v>9.23</v>
      </c>
      <c r="G2799" s="186">
        <v>5.845728931</v>
      </c>
    </row>
    <row r="2800" spans="1:7" ht="14.4">
      <c r="A2800" s="186">
        <v>2799</v>
      </c>
      <c r="B2800" s="186" t="s">
        <v>2307</v>
      </c>
      <c r="C2800" s="186" t="s">
        <v>3134</v>
      </c>
      <c r="D2800" s="186">
        <v>86.6</v>
      </c>
      <c r="E2800" s="186">
        <v>9.33</v>
      </c>
      <c r="F2800" s="186">
        <v>9.23</v>
      </c>
      <c r="G2800" s="186">
        <v>5.845728931</v>
      </c>
    </row>
    <row r="2801" spans="1:7" ht="14.4">
      <c r="A2801" s="186">
        <v>2800</v>
      </c>
      <c r="B2801" s="186" t="s">
        <v>3135</v>
      </c>
      <c r="C2801" s="186" t="s">
        <v>3136</v>
      </c>
      <c r="D2801" s="186">
        <v>682</v>
      </c>
      <c r="E2801" s="186">
        <v>9.5399999999999991</v>
      </c>
      <c r="F2801" s="186">
        <v>9.23</v>
      </c>
      <c r="G2801" s="186">
        <v>5.845728931</v>
      </c>
    </row>
    <row r="2802" spans="1:7" ht="14.4">
      <c r="A2802" s="186">
        <v>2801</v>
      </c>
      <c r="B2802" s="186" t="s">
        <v>1168</v>
      </c>
      <c r="C2802" s="186" t="s">
        <v>3137</v>
      </c>
      <c r="D2802" s="186">
        <v>50.3</v>
      </c>
      <c r="E2802" s="186">
        <v>9.5299999999999994</v>
      </c>
      <c r="F2802" s="186">
        <v>9.24</v>
      </c>
      <c r="G2802" s="186">
        <v>5.8564417679999998</v>
      </c>
    </row>
    <row r="2803" spans="1:7" ht="14.4">
      <c r="A2803" s="186">
        <v>2802</v>
      </c>
      <c r="B2803" s="186" t="s">
        <v>1228</v>
      </c>
      <c r="C2803" s="186" t="s">
        <v>3138</v>
      </c>
      <c r="D2803" s="187">
        <v>6647.6</v>
      </c>
      <c r="E2803" s="186">
        <v>9.5</v>
      </c>
      <c r="F2803" s="186">
        <v>9.24</v>
      </c>
      <c r="G2803" s="186">
        <v>5.8564417679999998</v>
      </c>
    </row>
    <row r="2804" spans="1:7" ht="14.4">
      <c r="A2804" s="186">
        <v>2803</v>
      </c>
      <c r="B2804" s="186" t="s">
        <v>178</v>
      </c>
      <c r="C2804" s="186" t="s">
        <v>3139</v>
      </c>
      <c r="D2804" s="186">
        <v>43.9</v>
      </c>
      <c r="E2804" s="186">
        <v>9.52</v>
      </c>
      <c r="F2804" s="186">
        <v>9.24</v>
      </c>
      <c r="G2804" s="186">
        <v>5.8564417679999998</v>
      </c>
    </row>
    <row r="2805" spans="1:7" ht="14.4">
      <c r="A2805" s="186">
        <v>2804</v>
      </c>
      <c r="B2805" s="186" t="s">
        <v>365</v>
      </c>
      <c r="C2805" s="186" t="s">
        <v>3140</v>
      </c>
      <c r="D2805" s="187">
        <v>4684.2</v>
      </c>
      <c r="E2805" s="186">
        <v>9.34</v>
      </c>
      <c r="F2805" s="186">
        <v>9.25</v>
      </c>
      <c r="G2805" s="186">
        <v>5.8671732539999999</v>
      </c>
    </row>
    <row r="2806" spans="1:7" ht="14.4">
      <c r="A2806" s="186">
        <v>2805</v>
      </c>
      <c r="B2806" s="186" t="s">
        <v>146</v>
      </c>
      <c r="C2806" s="186" t="s">
        <v>3141</v>
      </c>
      <c r="D2806" s="186">
        <v>34</v>
      </c>
      <c r="E2806" s="186">
        <v>9.2799999999999994</v>
      </c>
      <c r="F2806" s="186">
        <v>9.25</v>
      </c>
      <c r="G2806" s="186">
        <v>5.8671732539999999</v>
      </c>
    </row>
    <row r="2807" spans="1:7" ht="14.4">
      <c r="A2807" s="186">
        <v>2806</v>
      </c>
      <c r="B2807" s="186" t="s">
        <v>307</v>
      </c>
      <c r="C2807" s="186" t="s">
        <v>3142</v>
      </c>
      <c r="D2807" s="187">
        <v>2531.1999999999998</v>
      </c>
      <c r="E2807" s="186">
        <v>9.5</v>
      </c>
      <c r="F2807" s="186">
        <v>9.25</v>
      </c>
      <c r="G2807" s="186">
        <v>5.8671732539999999</v>
      </c>
    </row>
    <row r="2808" spans="1:7" ht="14.4">
      <c r="A2808" s="186">
        <v>2807</v>
      </c>
      <c r="B2808" s="186" t="s">
        <v>2307</v>
      </c>
      <c r="C2808" s="186" t="s">
        <v>3143</v>
      </c>
      <c r="D2808" s="186">
        <v>2.7</v>
      </c>
      <c r="E2808" s="186">
        <v>9.44</v>
      </c>
      <c r="F2808" s="186">
        <v>9.25</v>
      </c>
      <c r="G2808" s="186">
        <v>5.8671732539999999</v>
      </c>
    </row>
    <row r="2809" spans="1:7" ht="14.4">
      <c r="A2809" s="186">
        <v>2808</v>
      </c>
      <c r="B2809" s="186" t="s">
        <v>340</v>
      </c>
      <c r="C2809" s="186" t="s">
        <v>3144</v>
      </c>
      <c r="D2809" s="186">
        <v>137.30000000000001</v>
      </c>
      <c r="E2809" s="186">
        <v>9.59</v>
      </c>
      <c r="F2809" s="186">
        <v>9.25</v>
      </c>
      <c r="G2809" s="186">
        <v>5.8671732539999999</v>
      </c>
    </row>
    <row r="2810" spans="1:7" ht="14.4">
      <c r="A2810" s="186">
        <v>2809</v>
      </c>
      <c r="B2810" s="186" t="s">
        <v>1828</v>
      </c>
      <c r="C2810" s="186" t="s">
        <v>3145</v>
      </c>
      <c r="D2810" s="186">
        <v>175.1</v>
      </c>
      <c r="E2810" s="186">
        <v>8.92</v>
      </c>
      <c r="F2810" s="186">
        <v>9.26</v>
      </c>
      <c r="G2810" s="186">
        <v>5.8779234200000001</v>
      </c>
    </row>
    <row r="2811" spans="1:7" ht="14.4">
      <c r="A2811" s="186">
        <v>2810</v>
      </c>
      <c r="B2811" s="186" t="s">
        <v>241</v>
      </c>
      <c r="C2811" s="186" t="s">
        <v>3146</v>
      </c>
      <c r="D2811" s="186">
        <v>330.1</v>
      </c>
      <c r="E2811" s="186">
        <v>9.18</v>
      </c>
      <c r="F2811" s="186">
        <v>9.27</v>
      </c>
      <c r="G2811" s="186">
        <v>5.8886922960000003</v>
      </c>
    </row>
    <row r="2812" spans="1:7" ht="14.4">
      <c r="A2812" s="186">
        <v>2811</v>
      </c>
      <c r="B2812" s="186" t="s">
        <v>307</v>
      </c>
      <c r="C2812" s="186" t="s">
        <v>3147</v>
      </c>
      <c r="D2812" s="186">
        <v>18.8</v>
      </c>
      <c r="E2812" s="186">
        <v>9.49</v>
      </c>
      <c r="F2812" s="186">
        <v>9.27</v>
      </c>
      <c r="G2812" s="186">
        <v>5.8886922960000003</v>
      </c>
    </row>
    <row r="2813" spans="1:7" ht="14.4">
      <c r="A2813" s="186">
        <v>2812</v>
      </c>
      <c r="B2813" s="186" t="s">
        <v>1008</v>
      </c>
      <c r="C2813" s="186" t="s">
        <v>3148</v>
      </c>
      <c r="D2813" s="186">
        <v>14.8</v>
      </c>
      <c r="E2813" s="186">
        <v>9.6</v>
      </c>
      <c r="F2813" s="186">
        <v>9.2799999999999994</v>
      </c>
      <c r="G2813" s="186">
        <v>5.8994799130000004</v>
      </c>
    </row>
    <row r="2814" spans="1:7" ht="14.4">
      <c r="A2814" s="186">
        <v>2813</v>
      </c>
      <c r="B2814" s="186" t="s">
        <v>210</v>
      </c>
      <c r="C2814" s="186" t="s">
        <v>3149</v>
      </c>
      <c r="D2814" s="187">
        <v>1072.3</v>
      </c>
      <c r="E2814" s="186">
        <v>9.82</v>
      </c>
      <c r="F2814" s="186">
        <v>9.2799999999999994</v>
      </c>
      <c r="G2814" s="186">
        <v>5.8994799130000004</v>
      </c>
    </row>
    <row r="2815" spans="1:7" ht="14.4">
      <c r="A2815" s="186">
        <v>2814</v>
      </c>
      <c r="B2815" s="186" t="s">
        <v>297</v>
      </c>
      <c r="C2815" s="186" t="s">
        <v>3150</v>
      </c>
      <c r="D2815" s="186">
        <v>40.5</v>
      </c>
      <c r="E2815" s="186">
        <v>9.2200000000000006</v>
      </c>
      <c r="F2815" s="186">
        <v>9.2799999999999994</v>
      </c>
      <c r="G2815" s="186">
        <v>5.8994799130000004</v>
      </c>
    </row>
    <row r="2816" spans="1:7" ht="14.4">
      <c r="A2816" s="186">
        <v>2815</v>
      </c>
      <c r="B2816" s="186" t="s">
        <v>2307</v>
      </c>
      <c r="C2816" s="186" t="s">
        <v>3151</v>
      </c>
      <c r="D2816" s="186">
        <v>30.8</v>
      </c>
      <c r="E2816" s="186">
        <v>9.3800000000000008</v>
      </c>
      <c r="F2816" s="186">
        <v>9.2799999999999994</v>
      </c>
      <c r="G2816" s="186">
        <v>5.8994799130000004</v>
      </c>
    </row>
    <row r="2817" spans="1:7" ht="14.4">
      <c r="A2817" s="186">
        <v>2816</v>
      </c>
      <c r="B2817" s="186" t="s">
        <v>565</v>
      </c>
      <c r="C2817" s="186" t="s">
        <v>3152</v>
      </c>
      <c r="D2817" s="186">
        <v>62.2</v>
      </c>
      <c r="E2817" s="186">
        <v>8.9600000000000009</v>
      </c>
      <c r="F2817" s="186">
        <v>9.2799999999999994</v>
      </c>
      <c r="G2817" s="186">
        <v>5.8994799130000004</v>
      </c>
    </row>
    <row r="2818" spans="1:7" ht="14.4">
      <c r="A2818" s="186">
        <v>2817</v>
      </c>
      <c r="B2818" s="186" t="s">
        <v>1168</v>
      </c>
      <c r="C2818" s="186" t="s">
        <v>3153</v>
      </c>
      <c r="D2818" s="186">
        <v>169.8</v>
      </c>
      <c r="E2818" s="186">
        <v>9.6999999999999993</v>
      </c>
      <c r="F2818" s="186">
        <v>9.2899999999999991</v>
      </c>
      <c r="G2818" s="186">
        <v>5.9102863030000004</v>
      </c>
    </row>
    <row r="2819" spans="1:7" ht="14.4">
      <c r="A2819" s="186">
        <v>2818</v>
      </c>
      <c r="B2819" s="186" t="s">
        <v>271</v>
      </c>
      <c r="C2819" s="186" t="s">
        <v>3154</v>
      </c>
      <c r="D2819" s="186">
        <v>20.100000000000001</v>
      </c>
      <c r="E2819" s="186">
        <v>9.1300000000000008</v>
      </c>
      <c r="F2819" s="186">
        <v>9.2899999999999991</v>
      </c>
      <c r="G2819" s="186">
        <v>5.9102863030000004</v>
      </c>
    </row>
    <row r="2820" spans="1:7" ht="14.4">
      <c r="A2820" s="186">
        <v>2819</v>
      </c>
      <c r="B2820" s="186" t="s">
        <v>536</v>
      </c>
      <c r="C2820" s="186" t="s">
        <v>3155</v>
      </c>
      <c r="D2820" s="186">
        <v>924</v>
      </c>
      <c r="E2820" s="186">
        <v>9.3000000000000007</v>
      </c>
      <c r="F2820" s="186">
        <v>9.2899999999999991</v>
      </c>
      <c r="G2820" s="186">
        <v>5.9102863030000004</v>
      </c>
    </row>
    <row r="2821" spans="1:7" ht="14.4">
      <c r="A2821" s="186">
        <v>2820</v>
      </c>
      <c r="B2821" s="186" t="s">
        <v>365</v>
      </c>
      <c r="C2821" s="186" t="s">
        <v>3156</v>
      </c>
      <c r="D2821" s="186">
        <v>26.9</v>
      </c>
      <c r="E2821" s="186">
        <v>9.61</v>
      </c>
      <c r="F2821" s="186">
        <v>9.2899999999999991</v>
      </c>
      <c r="G2821" s="186">
        <v>5.9102863030000004</v>
      </c>
    </row>
    <row r="2822" spans="1:7" ht="14.4">
      <c r="A2822" s="186">
        <v>2821</v>
      </c>
      <c r="B2822" s="186" t="s">
        <v>286</v>
      </c>
      <c r="C2822" s="186" t="s">
        <v>3157</v>
      </c>
      <c r="D2822" s="186">
        <v>5.3</v>
      </c>
      <c r="E2822" s="186">
        <v>9.5399999999999991</v>
      </c>
      <c r="F2822" s="186">
        <v>9.3000000000000007</v>
      </c>
      <c r="G2822" s="186">
        <v>5.9211114949999999</v>
      </c>
    </row>
    <row r="2823" spans="1:7" ht="14.4">
      <c r="A2823" s="186">
        <v>2822</v>
      </c>
      <c r="B2823" s="186" t="s">
        <v>122</v>
      </c>
      <c r="C2823" s="186" t="s">
        <v>3158</v>
      </c>
      <c r="D2823" s="186">
        <v>876.9</v>
      </c>
      <c r="E2823" s="186">
        <v>9.67</v>
      </c>
      <c r="F2823" s="186">
        <v>9.3000000000000007</v>
      </c>
      <c r="G2823" s="186">
        <v>5.9211114949999999</v>
      </c>
    </row>
    <row r="2824" spans="1:7" ht="14.4">
      <c r="A2824" s="186">
        <v>2823</v>
      </c>
      <c r="B2824" s="186" t="s">
        <v>148</v>
      </c>
      <c r="C2824" s="186" t="s">
        <v>3159</v>
      </c>
      <c r="D2824" s="186">
        <v>222.8</v>
      </c>
      <c r="E2824" s="186">
        <v>9.73</v>
      </c>
      <c r="F2824" s="186">
        <v>9.31</v>
      </c>
      <c r="G2824" s="186">
        <v>5.931955522</v>
      </c>
    </row>
    <row r="2825" spans="1:7" ht="14.4">
      <c r="A2825" s="186">
        <v>2824</v>
      </c>
      <c r="B2825" s="186" t="s">
        <v>2307</v>
      </c>
      <c r="C2825" s="186" t="s">
        <v>3160</v>
      </c>
      <c r="D2825" s="186">
        <v>345.3</v>
      </c>
      <c r="E2825" s="186">
        <v>9.42</v>
      </c>
      <c r="F2825" s="186">
        <v>9.31</v>
      </c>
      <c r="G2825" s="186">
        <v>5.931955522</v>
      </c>
    </row>
    <row r="2826" spans="1:7" ht="14.4">
      <c r="A2826" s="186">
        <v>2825</v>
      </c>
      <c r="B2826" s="186" t="s">
        <v>184</v>
      </c>
      <c r="C2826" s="186" t="s">
        <v>3161</v>
      </c>
      <c r="D2826" s="187">
        <v>2557.3000000000002</v>
      </c>
      <c r="E2826" s="186">
        <v>9.39</v>
      </c>
      <c r="F2826" s="186">
        <v>9.31</v>
      </c>
      <c r="G2826" s="186">
        <v>5.931955522</v>
      </c>
    </row>
    <row r="2827" spans="1:7" ht="14.4">
      <c r="A2827" s="186">
        <v>2826</v>
      </c>
      <c r="B2827" s="186" t="s">
        <v>483</v>
      </c>
      <c r="C2827" s="186" t="s">
        <v>3162</v>
      </c>
      <c r="D2827" s="187">
        <v>16016.1</v>
      </c>
      <c r="E2827" s="186">
        <v>9.59</v>
      </c>
      <c r="F2827" s="186">
        <v>9.32</v>
      </c>
      <c r="G2827" s="186">
        <v>5.9428184149999996</v>
      </c>
    </row>
    <row r="2828" spans="1:7" ht="14.4">
      <c r="A2828" s="186">
        <v>2827</v>
      </c>
      <c r="B2828" s="186" t="s">
        <v>210</v>
      </c>
      <c r="C2828" s="186" t="s">
        <v>3163</v>
      </c>
      <c r="D2828" s="186">
        <v>253</v>
      </c>
      <c r="E2828" s="186">
        <v>9.8699999999999992</v>
      </c>
      <c r="F2828" s="186">
        <v>9.32</v>
      </c>
      <c r="G2828" s="186">
        <v>5.9428184149999996</v>
      </c>
    </row>
    <row r="2829" spans="1:7" ht="14.4">
      <c r="A2829" s="186">
        <v>2828</v>
      </c>
      <c r="B2829" s="186" t="s">
        <v>1828</v>
      </c>
      <c r="C2829" s="186" t="s">
        <v>3164</v>
      </c>
      <c r="D2829" s="187">
        <v>1536.7</v>
      </c>
      <c r="E2829" s="186">
        <v>9.3000000000000007</v>
      </c>
      <c r="F2829" s="186">
        <v>9.33</v>
      </c>
      <c r="G2829" s="186">
        <v>5.9537002030000004</v>
      </c>
    </row>
    <row r="2830" spans="1:7" ht="14.4">
      <c r="A2830" s="186">
        <v>2829</v>
      </c>
      <c r="B2830" s="186" t="s">
        <v>226</v>
      </c>
      <c r="C2830" s="186" t="s">
        <v>3165</v>
      </c>
      <c r="D2830" s="186">
        <v>228.8</v>
      </c>
      <c r="E2830" s="186">
        <v>9.5</v>
      </c>
      <c r="F2830" s="186">
        <v>9.33</v>
      </c>
      <c r="G2830" s="186">
        <v>5.9537002030000004</v>
      </c>
    </row>
    <row r="2831" spans="1:7" ht="14.4">
      <c r="A2831" s="186">
        <v>2830</v>
      </c>
      <c r="B2831" s="186" t="s">
        <v>553</v>
      </c>
      <c r="C2831" s="186" t="s">
        <v>3166</v>
      </c>
      <c r="D2831" s="186">
        <v>566.20000000000005</v>
      </c>
      <c r="E2831" s="186">
        <v>9.31</v>
      </c>
      <c r="F2831" s="186">
        <v>9.33</v>
      </c>
      <c r="G2831" s="186">
        <v>5.9537002030000004</v>
      </c>
    </row>
    <row r="2832" spans="1:7" ht="14.4">
      <c r="A2832" s="186">
        <v>2831</v>
      </c>
      <c r="B2832" s="186" t="s">
        <v>280</v>
      </c>
      <c r="C2832" s="186" t="s">
        <v>3167</v>
      </c>
      <c r="D2832" s="186">
        <v>2.8</v>
      </c>
      <c r="E2832" s="186">
        <v>9.4700000000000006</v>
      </c>
      <c r="F2832" s="186">
        <v>9.33</v>
      </c>
      <c r="G2832" s="186">
        <v>5.9537002030000004</v>
      </c>
    </row>
    <row r="2833" spans="1:7" ht="14.4">
      <c r="A2833" s="186">
        <v>2832</v>
      </c>
      <c r="B2833" s="186" t="s">
        <v>241</v>
      </c>
      <c r="C2833" s="186" t="s">
        <v>3168</v>
      </c>
      <c r="D2833" s="186">
        <v>2.2000000000000002</v>
      </c>
      <c r="E2833" s="186">
        <v>9.49</v>
      </c>
      <c r="F2833" s="186">
        <v>9.34</v>
      </c>
      <c r="G2833" s="186">
        <v>5.9646009189999996</v>
      </c>
    </row>
    <row r="2834" spans="1:7" ht="14.4">
      <c r="A2834" s="186">
        <v>2833</v>
      </c>
      <c r="B2834" s="186" t="s">
        <v>1008</v>
      </c>
      <c r="C2834" s="186" t="s">
        <v>3169</v>
      </c>
      <c r="D2834" s="186">
        <v>128.30000000000001</v>
      </c>
      <c r="E2834" s="186">
        <v>9.67</v>
      </c>
      <c r="F2834" s="186">
        <v>9.34</v>
      </c>
      <c r="G2834" s="186">
        <v>5.9646009189999996</v>
      </c>
    </row>
    <row r="2835" spans="1:7" ht="14.4">
      <c r="A2835" s="186">
        <v>2834</v>
      </c>
      <c r="B2835" s="186" t="s">
        <v>210</v>
      </c>
      <c r="C2835" s="186" t="s">
        <v>3170</v>
      </c>
      <c r="D2835" s="186">
        <v>763.9</v>
      </c>
      <c r="E2835" s="186">
        <v>9.89</v>
      </c>
      <c r="F2835" s="186">
        <v>9.34</v>
      </c>
      <c r="G2835" s="186">
        <v>5.9646009189999996</v>
      </c>
    </row>
    <row r="2836" spans="1:7" ht="14.4">
      <c r="A2836" s="186">
        <v>2835</v>
      </c>
      <c r="B2836" s="186" t="s">
        <v>2443</v>
      </c>
      <c r="C2836" s="186" t="s">
        <v>3171</v>
      </c>
      <c r="D2836" s="187">
        <v>2129.5</v>
      </c>
      <c r="E2836" s="186">
        <v>9.2200000000000006</v>
      </c>
      <c r="F2836" s="186">
        <v>9.34</v>
      </c>
      <c r="G2836" s="186">
        <v>5.9646009189999996</v>
      </c>
    </row>
    <row r="2837" spans="1:7" ht="14.4">
      <c r="A2837" s="186">
        <v>2836</v>
      </c>
      <c r="B2837" s="186" t="s">
        <v>749</v>
      </c>
      <c r="C2837" s="186" t="s">
        <v>3172</v>
      </c>
      <c r="D2837" s="186">
        <v>76.2</v>
      </c>
      <c r="E2837" s="186">
        <v>9.56</v>
      </c>
      <c r="F2837" s="186">
        <v>9.34</v>
      </c>
      <c r="G2837" s="186">
        <v>5.9646009189999996</v>
      </c>
    </row>
    <row r="2838" spans="1:7" ht="14.4">
      <c r="A2838" s="186">
        <v>2837</v>
      </c>
      <c r="B2838" s="186" t="s">
        <v>365</v>
      </c>
      <c r="C2838" s="186" t="s">
        <v>3173</v>
      </c>
      <c r="D2838" s="186">
        <v>565.29999999999995</v>
      </c>
      <c r="E2838" s="186">
        <v>9.67</v>
      </c>
      <c r="F2838" s="186">
        <v>9.35</v>
      </c>
      <c r="G2838" s="186">
        <v>5.9755205939999998</v>
      </c>
    </row>
    <row r="2839" spans="1:7" ht="14.4">
      <c r="A2839" s="186">
        <v>2838</v>
      </c>
      <c r="B2839" s="186" t="s">
        <v>365</v>
      </c>
      <c r="C2839" s="186" t="s">
        <v>3174</v>
      </c>
      <c r="D2839" s="186">
        <v>411</v>
      </c>
      <c r="E2839" s="186">
        <v>9.59</v>
      </c>
      <c r="F2839" s="186">
        <v>9.35</v>
      </c>
      <c r="G2839" s="186">
        <v>5.9755205939999998</v>
      </c>
    </row>
    <row r="2840" spans="1:7" ht="14.4">
      <c r="A2840" s="186">
        <v>2839</v>
      </c>
      <c r="B2840" s="186" t="s">
        <v>146</v>
      </c>
      <c r="C2840" s="186" t="s">
        <v>3175</v>
      </c>
      <c r="D2840" s="186">
        <v>816.5</v>
      </c>
      <c r="E2840" s="186">
        <v>9.25</v>
      </c>
      <c r="F2840" s="186">
        <v>9.35</v>
      </c>
      <c r="G2840" s="186">
        <v>5.9755205939999998</v>
      </c>
    </row>
    <row r="2841" spans="1:7" ht="14.4">
      <c r="A2841" s="186">
        <v>2840</v>
      </c>
      <c r="B2841" s="186" t="s">
        <v>146</v>
      </c>
      <c r="C2841" s="186" t="s">
        <v>3176</v>
      </c>
      <c r="D2841" s="186">
        <v>39</v>
      </c>
      <c r="E2841" s="186">
        <v>9.56</v>
      </c>
      <c r="F2841" s="186">
        <v>9.35</v>
      </c>
      <c r="G2841" s="186">
        <v>5.9755205939999998</v>
      </c>
    </row>
    <row r="2842" spans="1:7" ht="14.4">
      <c r="A2842" s="186">
        <v>2841</v>
      </c>
      <c r="B2842" s="186" t="s">
        <v>280</v>
      </c>
      <c r="C2842" s="186" t="s">
        <v>3177</v>
      </c>
      <c r="D2842" s="187">
        <v>1622.5</v>
      </c>
      <c r="E2842" s="186">
        <v>9.77</v>
      </c>
      <c r="F2842" s="186">
        <v>9.35</v>
      </c>
      <c r="G2842" s="186">
        <v>5.9755205939999998</v>
      </c>
    </row>
    <row r="2843" spans="1:7" ht="14.4">
      <c r="A2843" s="186">
        <v>2842</v>
      </c>
      <c r="B2843" s="186" t="s">
        <v>2662</v>
      </c>
      <c r="C2843" s="186" t="s">
        <v>3178</v>
      </c>
      <c r="D2843" s="186">
        <v>31.2</v>
      </c>
      <c r="E2843" s="186">
        <v>9.64</v>
      </c>
      <c r="F2843" s="186">
        <v>9.36</v>
      </c>
      <c r="G2843" s="186">
        <v>5.986459258</v>
      </c>
    </row>
    <row r="2844" spans="1:7" ht="14.4">
      <c r="A2844" s="186">
        <v>2843</v>
      </c>
      <c r="B2844" s="186" t="s">
        <v>1319</v>
      </c>
      <c r="C2844" s="186" t="s">
        <v>3179</v>
      </c>
      <c r="D2844" s="186">
        <v>641.20000000000005</v>
      </c>
      <c r="E2844" s="186">
        <v>9.91</v>
      </c>
      <c r="F2844" s="186">
        <v>9.36</v>
      </c>
      <c r="G2844" s="186">
        <v>5.986459258</v>
      </c>
    </row>
    <row r="2845" spans="1:7" ht="14.4">
      <c r="A2845" s="186">
        <v>2844</v>
      </c>
      <c r="B2845" s="186" t="s">
        <v>834</v>
      </c>
      <c r="C2845" s="186" t="s">
        <v>3180</v>
      </c>
      <c r="D2845" s="187">
        <v>2854.8</v>
      </c>
      <c r="E2845" s="186">
        <v>9.08</v>
      </c>
      <c r="F2845" s="186">
        <v>9.3699999999999992</v>
      </c>
      <c r="G2845" s="186">
        <v>5.9974169440000002</v>
      </c>
    </row>
    <row r="2846" spans="1:7" ht="14.4">
      <c r="A2846" s="186">
        <v>2845</v>
      </c>
      <c r="B2846" s="186" t="s">
        <v>146</v>
      </c>
      <c r="C2846" s="186" t="s">
        <v>3181</v>
      </c>
      <c r="D2846" s="186">
        <v>1</v>
      </c>
      <c r="E2846" s="186">
        <v>9.7799999999999994</v>
      </c>
      <c r="F2846" s="186">
        <v>9.3800000000000008</v>
      </c>
      <c r="G2846" s="186">
        <v>6.0083936820000003</v>
      </c>
    </row>
    <row r="2847" spans="1:7" ht="14.4">
      <c r="A2847" s="186">
        <v>2846</v>
      </c>
      <c r="B2847" s="186" t="s">
        <v>565</v>
      </c>
      <c r="C2847" s="186" t="s">
        <v>3182</v>
      </c>
      <c r="D2847" s="186">
        <v>588.79999999999995</v>
      </c>
      <c r="E2847" s="186">
        <v>9.7100000000000009</v>
      </c>
      <c r="F2847" s="186">
        <v>9.3800000000000008</v>
      </c>
      <c r="G2847" s="186">
        <v>6.0083936820000003</v>
      </c>
    </row>
    <row r="2848" spans="1:7" ht="14.4">
      <c r="A2848" s="186">
        <v>2847</v>
      </c>
      <c r="B2848" s="186" t="s">
        <v>365</v>
      </c>
      <c r="C2848" s="186" t="s">
        <v>3183</v>
      </c>
      <c r="D2848" s="186">
        <v>91.4</v>
      </c>
      <c r="E2848" s="186">
        <v>9.7899999999999991</v>
      </c>
      <c r="F2848" s="186">
        <v>9.39</v>
      </c>
      <c r="G2848" s="186">
        <v>6.0193895040000003</v>
      </c>
    </row>
    <row r="2849" spans="1:7" ht="14.4">
      <c r="A2849" s="186">
        <v>2848</v>
      </c>
      <c r="B2849" s="186" t="s">
        <v>175</v>
      </c>
      <c r="C2849" s="186" t="s">
        <v>3184</v>
      </c>
      <c r="D2849" s="186">
        <v>314.60000000000002</v>
      </c>
      <c r="E2849" s="186">
        <v>9.48</v>
      </c>
      <c r="F2849" s="186">
        <v>9.4</v>
      </c>
      <c r="G2849" s="186">
        <v>6.0304044409999999</v>
      </c>
    </row>
    <row r="2850" spans="1:7" ht="14.4">
      <c r="A2850" s="186">
        <v>2849</v>
      </c>
      <c r="B2850" s="186" t="s">
        <v>1168</v>
      </c>
      <c r="C2850" s="186" t="s">
        <v>3185</v>
      </c>
      <c r="D2850" s="186">
        <v>2.9</v>
      </c>
      <c r="E2850" s="186">
        <v>9.52</v>
      </c>
      <c r="F2850" s="186">
        <v>9.41</v>
      </c>
      <c r="G2850" s="186">
        <v>6.0414385250000002</v>
      </c>
    </row>
    <row r="2851" spans="1:7" ht="14.4">
      <c r="A2851" s="186">
        <v>2850</v>
      </c>
      <c r="B2851" s="186" t="s">
        <v>178</v>
      </c>
      <c r="C2851" s="186" t="s">
        <v>3186</v>
      </c>
      <c r="D2851" s="186">
        <v>260.89999999999998</v>
      </c>
      <c r="E2851" s="186">
        <v>9.66</v>
      </c>
      <c r="F2851" s="186">
        <v>9.41</v>
      </c>
      <c r="G2851" s="186">
        <v>6.0414385250000002</v>
      </c>
    </row>
    <row r="2852" spans="1:7" ht="14.4">
      <c r="A2852" s="186">
        <v>2851</v>
      </c>
      <c r="B2852" s="186" t="s">
        <v>365</v>
      </c>
      <c r="C2852" s="186" t="s">
        <v>3187</v>
      </c>
      <c r="D2852" s="186">
        <v>113.3</v>
      </c>
      <c r="E2852" s="186">
        <v>9.64</v>
      </c>
      <c r="F2852" s="186">
        <v>9.41</v>
      </c>
      <c r="G2852" s="186">
        <v>6.0414385250000002</v>
      </c>
    </row>
    <row r="2853" spans="1:7" ht="14.4">
      <c r="A2853" s="186">
        <v>2852</v>
      </c>
      <c r="B2853" s="186" t="s">
        <v>164</v>
      </c>
      <c r="C2853" s="186" t="s">
        <v>3188</v>
      </c>
      <c r="D2853" s="186">
        <v>151.30000000000001</v>
      </c>
      <c r="E2853" s="186">
        <v>9.42</v>
      </c>
      <c r="F2853" s="186">
        <v>9.42</v>
      </c>
      <c r="G2853" s="186">
        <v>6.0524917870000001</v>
      </c>
    </row>
    <row r="2854" spans="1:7" ht="14.4">
      <c r="A2854" s="186">
        <v>2853</v>
      </c>
      <c r="B2854" s="186" t="s">
        <v>365</v>
      </c>
      <c r="C2854" s="186" t="s">
        <v>3189</v>
      </c>
      <c r="D2854" s="187">
        <v>1342.9</v>
      </c>
      <c r="E2854" s="186">
        <v>9.83</v>
      </c>
      <c r="F2854" s="186">
        <v>9.43</v>
      </c>
      <c r="G2854" s="186">
        <v>6.0635642599999997</v>
      </c>
    </row>
    <row r="2855" spans="1:7" ht="14.4">
      <c r="A2855" s="186">
        <v>2854</v>
      </c>
      <c r="B2855" s="186" t="s">
        <v>3190</v>
      </c>
      <c r="C2855" s="186" t="s">
        <v>3191</v>
      </c>
      <c r="D2855" s="187">
        <v>4597.5</v>
      </c>
      <c r="E2855" s="186">
        <v>9.67</v>
      </c>
      <c r="F2855" s="186">
        <v>9.43</v>
      </c>
      <c r="G2855" s="186">
        <v>6.0635642599999997</v>
      </c>
    </row>
    <row r="2856" spans="1:7" ht="14.4">
      <c r="A2856" s="186">
        <v>2855</v>
      </c>
      <c r="B2856" s="186" t="s">
        <v>834</v>
      </c>
      <c r="C2856" s="186" t="s">
        <v>3192</v>
      </c>
      <c r="D2856" s="186">
        <v>123.4</v>
      </c>
      <c r="E2856" s="186">
        <v>9.7200000000000006</v>
      </c>
      <c r="F2856" s="186">
        <v>9.43</v>
      </c>
      <c r="G2856" s="186">
        <v>6.0635642599999997</v>
      </c>
    </row>
    <row r="2857" spans="1:7" ht="14.4">
      <c r="A2857" s="186">
        <v>2856</v>
      </c>
      <c r="B2857" s="186" t="s">
        <v>280</v>
      </c>
      <c r="C2857" s="186" t="s">
        <v>3193</v>
      </c>
      <c r="D2857" s="186">
        <v>150.9</v>
      </c>
      <c r="E2857" s="186">
        <v>9.58</v>
      </c>
      <c r="F2857" s="186">
        <v>9.44</v>
      </c>
      <c r="G2857" s="186">
        <v>6.0746559729999996</v>
      </c>
    </row>
    <row r="2858" spans="1:7" ht="14.4">
      <c r="A2858" s="186">
        <v>2857</v>
      </c>
      <c r="B2858" s="186" t="s">
        <v>1168</v>
      </c>
      <c r="C2858" s="186" t="s">
        <v>3194</v>
      </c>
      <c r="D2858" s="186">
        <v>57.8</v>
      </c>
      <c r="E2858" s="186">
        <v>9.25</v>
      </c>
      <c r="F2858" s="186">
        <v>9.4499999999999993</v>
      </c>
      <c r="G2858" s="186">
        <v>6.0857669599999999</v>
      </c>
    </row>
    <row r="2859" spans="1:7" ht="14.4">
      <c r="A2859" s="186">
        <v>2858</v>
      </c>
      <c r="B2859" s="186" t="s">
        <v>153</v>
      </c>
      <c r="C2859" s="186" t="s">
        <v>3195</v>
      </c>
      <c r="D2859" s="187">
        <v>81886.399999999994</v>
      </c>
      <c r="E2859" s="186">
        <v>9.6999999999999993</v>
      </c>
      <c r="F2859" s="186">
        <v>9.4499999999999993</v>
      </c>
      <c r="G2859" s="186">
        <v>6.0857669599999999</v>
      </c>
    </row>
    <row r="2860" spans="1:7" ht="14.4">
      <c r="A2860" s="186">
        <v>2859</v>
      </c>
      <c r="B2860" s="186" t="s">
        <v>834</v>
      </c>
      <c r="C2860" s="186" t="s">
        <v>3196</v>
      </c>
      <c r="D2860" s="186">
        <v>16.7</v>
      </c>
      <c r="E2860" s="186">
        <v>9.74</v>
      </c>
      <c r="F2860" s="186">
        <v>9.4499999999999993</v>
      </c>
      <c r="G2860" s="186">
        <v>6.0857669599999999</v>
      </c>
    </row>
    <row r="2861" spans="1:7" ht="14.4">
      <c r="A2861" s="186">
        <v>2860</v>
      </c>
      <c r="B2861" s="186" t="s">
        <v>280</v>
      </c>
      <c r="C2861" s="186" t="s">
        <v>3197</v>
      </c>
      <c r="D2861" s="187">
        <v>1003.7</v>
      </c>
      <c r="E2861" s="186">
        <v>9.7100000000000009</v>
      </c>
      <c r="F2861" s="186">
        <v>9.4499999999999993</v>
      </c>
      <c r="G2861" s="186">
        <v>6.0857669599999999</v>
      </c>
    </row>
    <row r="2862" spans="1:7" ht="14.4">
      <c r="A2862" s="186">
        <v>2861</v>
      </c>
      <c r="B2862" s="186" t="s">
        <v>3198</v>
      </c>
      <c r="C2862" s="186" t="s">
        <v>3199</v>
      </c>
      <c r="D2862" s="187">
        <v>1575</v>
      </c>
      <c r="E2862" s="186">
        <v>9.6999999999999993</v>
      </c>
      <c r="F2862" s="186">
        <v>9.4600000000000009</v>
      </c>
      <c r="G2862" s="186">
        <v>6.0968972519999998</v>
      </c>
    </row>
    <row r="2863" spans="1:7" ht="14.4">
      <c r="A2863" s="186">
        <v>2862</v>
      </c>
      <c r="B2863" s="186" t="s">
        <v>146</v>
      </c>
      <c r="C2863" s="186" t="s">
        <v>3200</v>
      </c>
      <c r="D2863" s="186">
        <v>234.6</v>
      </c>
      <c r="E2863" s="186">
        <v>9.67</v>
      </c>
      <c r="F2863" s="186">
        <v>9.4600000000000009</v>
      </c>
      <c r="G2863" s="186">
        <v>6.0968972519999998</v>
      </c>
    </row>
    <row r="2864" spans="1:7" ht="14.4">
      <c r="A2864" s="186">
        <v>2863</v>
      </c>
      <c r="B2864" s="186" t="s">
        <v>1168</v>
      </c>
      <c r="C2864" s="186" t="s">
        <v>3201</v>
      </c>
      <c r="D2864" s="186">
        <v>776.5</v>
      </c>
      <c r="E2864" s="186">
        <v>9.44</v>
      </c>
      <c r="F2864" s="186">
        <v>9.4700000000000006</v>
      </c>
      <c r="G2864" s="186">
        <v>6.1080468799999998</v>
      </c>
    </row>
    <row r="2865" spans="1:7" ht="14.4">
      <c r="A2865" s="186">
        <v>2864</v>
      </c>
      <c r="B2865" s="186" t="s">
        <v>153</v>
      </c>
      <c r="C2865" s="186" t="s">
        <v>3202</v>
      </c>
      <c r="D2865" s="187">
        <v>5628</v>
      </c>
      <c r="E2865" s="186">
        <v>9.7799999999999994</v>
      </c>
      <c r="F2865" s="186">
        <v>9.4700000000000006</v>
      </c>
      <c r="G2865" s="186">
        <v>6.1080468799999998</v>
      </c>
    </row>
    <row r="2866" spans="1:7" ht="14.4">
      <c r="A2866" s="186">
        <v>2865</v>
      </c>
      <c r="B2866" s="186" t="s">
        <v>146</v>
      </c>
      <c r="C2866" s="186" t="s">
        <v>3203</v>
      </c>
      <c r="D2866" s="186">
        <v>101.7</v>
      </c>
      <c r="E2866" s="186">
        <v>9.67</v>
      </c>
      <c r="F2866" s="186">
        <v>9.4700000000000006</v>
      </c>
      <c r="G2866" s="186">
        <v>6.1080468799999998</v>
      </c>
    </row>
    <row r="2867" spans="1:7" ht="14.4">
      <c r="A2867" s="186">
        <v>2866</v>
      </c>
      <c r="B2867" s="186" t="s">
        <v>1323</v>
      </c>
      <c r="C2867" s="186" t="s">
        <v>3204</v>
      </c>
      <c r="D2867" s="186">
        <v>689</v>
      </c>
      <c r="E2867" s="186">
        <v>9.68</v>
      </c>
      <c r="F2867" s="186">
        <v>9.4700000000000006</v>
      </c>
      <c r="G2867" s="186">
        <v>6.1080468799999998</v>
      </c>
    </row>
    <row r="2868" spans="1:7" ht="14.4">
      <c r="A2868" s="186">
        <v>2867</v>
      </c>
      <c r="B2868" s="186" t="s">
        <v>2818</v>
      </c>
      <c r="C2868" s="186" t="s">
        <v>3205</v>
      </c>
      <c r="D2868" s="187">
        <v>1712.2</v>
      </c>
      <c r="E2868" s="186">
        <v>9.6</v>
      </c>
      <c r="F2868" s="186">
        <v>9.4700000000000006</v>
      </c>
      <c r="G2868" s="186">
        <v>6.1080468799999998</v>
      </c>
    </row>
    <row r="2869" spans="1:7" ht="14.4">
      <c r="A2869" s="186">
        <v>2868</v>
      </c>
      <c r="B2869" s="186" t="s">
        <v>178</v>
      </c>
      <c r="C2869" s="186" t="s">
        <v>3206</v>
      </c>
      <c r="D2869" s="187">
        <v>3415</v>
      </c>
      <c r="E2869" s="186">
        <v>9.6999999999999993</v>
      </c>
      <c r="F2869" s="186">
        <v>9.49</v>
      </c>
      <c r="G2869" s="186">
        <v>6.1304042750000001</v>
      </c>
    </row>
    <row r="2870" spans="1:7" ht="14.4">
      <c r="A2870" s="186">
        <v>2869</v>
      </c>
      <c r="B2870" s="186" t="s">
        <v>536</v>
      </c>
      <c r="C2870" s="186" t="s">
        <v>3207</v>
      </c>
      <c r="D2870" s="187">
        <v>1295.5999999999999</v>
      </c>
      <c r="E2870" s="186">
        <v>9.64</v>
      </c>
      <c r="F2870" s="186">
        <v>9.49</v>
      </c>
      <c r="G2870" s="186">
        <v>6.1304042750000001</v>
      </c>
    </row>
    <row r="2871" spans="1:7" ht="14.4">
      <c r="A2871" s="186">
        <v>2870</v>
      </c>
      <c r="B2871" s="186" t="s">
        <v>210</v>
      </c>
      <c r="C2871" s="186" t="s">
        <v>3208</v>
      </c>
      <c r="D2871" s="186">
        <v>168.5</v>
      </c>
      <c r="E2871" s="186">
        <v>9.82</v>
      </c>
      <c r="F2871" s="186">
        <v>9.49</v>
      </c>
      <c r="G2871" s="186">
        <v>6.1304042750000001</v>
      </c>
    </row>
    <row r="2872" spans="1:7" ht="14.4">
      <c r="A2872" s="186">
        <v>2871</v>
      </c>
      <c r="B2872" s="186" t="s">
        <v>133</v>
      </c>
      <c r="C2872" s="186" t="s">
        <v>3209</v>
      </c>
      <c r="D2872" s="186">
        <v>96</v>
      </c>
      <c r="E2872" s="186">
        <v>10.029999999999999</v>
      </c>
      <c r="F2872" s="186">
        <v>9.49</v>
      </c>
      <c r="G2872" s="186">
        <v>6.1304042750000001</v>
      </c>
    </row>
    <row r="2873" spans="1:7" ht="14.4">
      <c r="A2873" s="186">
        <v>2872</v>
      </c>
      <c r="B2873" s="186" t="s">
        <v>451</v>
      </c>
      <c r="C2873" s="186" t="s">
        <v>3210</v>
      </c>
      <c r="D2873" s="186">
        <v>63.1</v>
      </c>
      <c r="E2873" s="186">
        <v>9.36</v>
      </c>
      <c r="F2873" s="186">
        <v>9.49</v>
      </c>
      <c r="G2873" s="186">
        <v>6.1304042750000001</v>
      </c>
    </row>
    <row r="2874" spans="1:7" ht="14.4">
      <c r="A2874" s="186">
        <v>2873</v>
      </c>
      <c r="B2874" s="186" t="s">
        <v>187</v>
      </c>
      <c r="C2874" s="186" t="s">
        <v>3211</v>
      </c>
      <c r="D2874" s="186">
        <v>242.6</v>
      </c>
      <c r="E2874" s="186">
        <v>9.6999999999999993</v>
      </c>
      <c r="F2874" s="186">
        <v>9.49</v>
      </c>
      <c r="G2874" s="186">
        <v>6.1304042750000001</v>
      </c>
    </row>
    <row r="2875" spans="1:7" ht="14.4">
      <c r="A2875" s="186">
        <v>2874</v>
      </c>
      <c r="B2875" s="186" t="s">
        <v>1228</v>
      </c>
      <c r="C2875" s="186" t="s">
        <v>3212</v>
      </c>
      <c r="D2875" s="186">
        <v>0.6</v>
      </c>
      <c r="E2875" s="186">
        <v>9.5500000000000007</v>
      </c>
      <c r="F2875" s="186">
        <v>9.5</v>
      </c>
      <c r="G2875" s="186">
        <v>6.141612104</v>
      </c>
    </row>
    <row r="2876" spans="1:7" ht="14.4">
      <c r="A2876" s="186">
        <v>2875</v>
      </c>
      <c r="B2876" s="186" t="s">
        <v>178</v>
      </c>
      <c r="C2876" s="186" t="s">
        <v>3213</v>
      </c>
      <c r="D2876" s="186">
        <v>0.1</v>
      </c>
      <c r="E2876" s="186">
        <v>9.7799999999999994</v>
      </c>
      <c r="F2876" s="186">
        <v>9.5</v>
      </c>
      <c r="G2876" s="186">
        <v>6.141612104</v>
      </c>
    </row>
    <row r="2877" spans="1:7" ht="14.4">
      <c r="A2877" s="186">
        <v>2876</v>
      </c>
      <c r="B2877" s="186" t="s">
        <v>477</v>
      </c>
      <c r="C2877" s="186" t="s">
        <v>3214</v>
      </c>
      <c r="D2877" s="186">
        <v>0.4</v>
      </c>
      <c r="E2877" s="186">
        <v>9.76</v>
      </c>
      <c r="F2877" s="186">
        <v>9.5</v>
      </c>
      <c r="G2877" s="186">
        <v>6.141612104</v>
      </c>
    </row>
    <row r="2878" spans="1:7" ht="14.4">
      <c r="A2878" s="186">
        <v>2877</v>
      </c>
      <c r="B2878" s="186" t="s">
        <v>415</v>
      </c>
      <c r="C2878" s="186" t="s">
        <v>3215</v>
      </c>
      <c r="D2878" s="187">
        <v>2027.5</v>
      </c>
      <c r="E2878" s="186">
        <v>9.19</v>
      </c>
      <c r="F2878" s="186">
        <v>9.5</v>
      </c>
      <c r="G2878" s="186">
        <v>6.141612104</v>
      </c>
    </row>
    <row r="2879" spans="1:7" ht="14.4">
      <c r="A2879" s="186">
        <v>2878</v>
      </c>
      <c r="B2879" s="186" t="s">
        <v>3216</v>
      </c>
      <c r="C2879" s="186" t="s">
        <v>3217</v>
      </c>
      <c r="D2879" s="186">
        <v>216.4</v>
      </c>
      <c r="E2879" s="186">
        <v>9.67</v>
      </c>
      <c r="F2879" s="186">
        <v>9.5</v>
      </c>
      <c r="G2879" s="186">
        <v>6.141612104</v>
      </c>
    </row>
    <row r="2880" spans="1:7" ht="14.4">
      <c r="A2880" s="186">
        <v>2879</v>
      </c>
      <c r="B2880" s="186" t="s">
        <v>1195</v>
      </c>
      <c r="C2880" s="186" t="s">
        <v>3218</v>
      </c>
      <c r="D2880" s="186">
        <v>114.6</v>
      </c>
      <c r="E2880" s="186">
        <v>9.26</v>
      </c>
      <c r="F2880" s="186">
        <v>9.5</v>
      </c>
      <c r="G2880" s="186">
        <v>6.141612104</v>
      </c>
    </row>
    <row r="2881" spans="1:7" ht="14.4">
      <c r="A2881" s="186">
        <v>2880</v>
      </c>
      <c r="B2881" s="186" t="s">
        <v>175</v>
      </c>
      <c r="C2881" s="186" t="s">
        <v>3219</v>
      </c>
      <c r="D2881" s="187">
        <v>4347.5</v>
      </c>
      <c r="E2881" s="186">
        <v>9.66</v>
      </c>
      <c r="F2881" s="186">
        <v>9.51</v>
      </c>
      <c r="G2881" s="186">
        <v>6.1528393980000002</v>
      </c>
    </row>
    <row r="2882" spans="1:7" ht="14.4">
      <c r="A2882" s="186">
        <v>2881</v>
      </c>
      <c r="B2882" s="186" t="s">
        <v>153</v>
      </c>
      <c r="C2882" s="186" t="s">
        <v>3220</v>
      </c>
      <c r="D2882" s="187">
        <v>31885.7</v>
      </c>
      <c r="E2882" s="186">
        <v>9.76</v>
      </c>
      <c r="F2882" s="186">
        <v>9.51</v>
      </c>
      <c r="G2882" s="186">
        <v>6.1528393980000002</v>
      </c>
    </row>
    <row r="2883" spans="1:7" ht="14.4">
      <c r="A2883" s="186">
        <v>2882</v>
      </c>
      <c r="B2883" s="186" t="s">
        <v>153</v>
      </c>
      <c r="C2883" s="186" t="s">
        <v>3221</v>
      </c>
      <c r="D2883" s="187">
        <v>11682.4</v>
      </c>
      <c r="E2883" s="186">
        <v>9.92</v>
      </c>
      <c r="F2883" s="186">
        <v>9.51</v>
      </c>
      <c r="G2883" s="186">
        <v>6.1528393980000002</v>
      </c>
    </row>
    <row r="2884" spans="1:7" ht="14.4">
      <c r="A2884" s="186">
        <v>2883</v>
      </c>
      <c r="B2884" s="186" t="s">
        <v>553</v>
      </c>
      <c r="C2884" s="186" t="s">
        <v>3222</v>
      </c>
      <c r="D2884" s="186">
        <v>50.1</v>
      </c>
      <c r="E2884" s="186">
        <v>9.7100000000000009</v>
      </c>
      <c r="F2884" s="186">
        <v>9.51</v>
      </c>
      <c r="G2884" s="186">
        <v>6.1528393980000002</v>
      </c>
    </row>
    <row r="2885" spans="1:7" ht="14.4">
      <c r="A2885" s="186">
        <v>2884</v>
      </c>
      <c r="B2885" s="186" t="s">
        <v>477</v>
      </c>
      <c r="C2885" s="186" t="s">
        <v>3223</v>
      </c>
      <c r="D2885" s="186">
        <v>26.3</v>
      </c>
      <c r="E2885" s="186">
        <v>9.77</v>
      </c>
      <c r="F2885" s="186">
        <v>9.51</v>
      </c>
      <c r="G2885" s="186">
        <v>6.1528393980000002</v>
      </c>
    </row>
    <row r="2886" spans="1:7" ht="14.4">
      <c r="A2886" s="186">
        <v>2885</v>
      </c>
      <c r="B2886" s="186" t="s">
        <v>3224</v>
      </c>
      <c r="C2886" s="186" t="s">
        <v>3225</v>
      </c>
      <c r="D2886" s="186">
        <v>245.6</v>
      </c>
      <c r="E2886" s="186">
        <v>9.68</v>
      </c>
      <c r="F2886" s="186">
        <v>9.51</v>
      </c>
      <c r="G2886" s="186">
        <v>6.1528393980000002</v>
      </c>
    </row>
    <row r="2887" spans="1:7" ht="14.4">
      <c r="A2887" s="186">
        <v>2886</v>
      </c>
      <c r="B2887" s="186" t="s">
        <v>178</v>
      </c>
      <c r="C2887" s="186" t="s">
        <v>3226</v>
      </c>
      <c r="D2887" s="186">
        <v>155.80000000000001</v>
      </c>
      <c r="E2887" s="186">
        <v>9.8000000000000007</v>
      </c>
      <c r="F2887" s="186">
        <v>9.52</v>
      </c>
      <c r="G2887" s="186">
        <v>6.1640861879999997</v>
      </c>
    </row>
    <row r="2888" spans="1:7" ht="14.4">
      <c r="A2888" s="186">
        <v>2887</v>
      </c>
      <c r="B2888" s="186" t="s">
        <v>553</v>
      </c>
      <c r="C2888" s="186" t="s">
        <v>3227</v>
      </c>
      <c r="D2888" s="186">
        <v>117.5</v>
      </c>
      <c r="E2888" s="186">
        <v>9.83</v>
      </c>
      <c r="F2888" s="186">
        <v>9.52</v>
      </c>
      <c r="G2888" s="186">
        <v>6.1640861879999997</v>
      </c>
    </row>
    <row r="2889" spans="1:7" ht="14.4">
      <c r="A2889" s="186">
        <v>2888</v>
      </c>
      <c r="B2889" s="186" t="s">
        <v>1228</v>
      </c>
      <c r="C2889" s="186" t="s">
        <v>3228</v>
      </c>
      <c r="D2889" s="187">
        <v>7317.9</v>
      </c>
      <c r="E2889" s="186">
        <v>9.4600000000000009</v>
      </c>
      <c r="F2889" s="186">
        <v>9.5299999999999994</v>
      </c>
      <c r="G2889" s="186">
        <v>6.1753525060000003</v>
      </c>
    </row>
    <row r="2890" spans="1:7" ht="14.4">
      <c r="A2890" s="186">
        <v>2889</v>
      </c>
      <c r="B2890" s="186" t="s">
        <v>178</v>
      </c>
      <c r="C2890" s="186" t="s">
        <v>3229</v>
      </c>
      <c r="D2890" s="186">
        <v>91.9</v>
      </c>
      <c r="E2890" s="186">
        <v>10.07</v>
      </c>
      <c r="F2890" s="186">
        <v>9.5299999999999994</v>
      </c>
      <c r="G2890" s="186">
        <v>6.1753525060000003</v>
      </c>
    </row>
    <row r="2891" spans="1:7" ht="14.4">
      <c r="A2891" s="186">
        <v>2890</v>
      </c>
      <c r="B2891" s="186" t="s">
        <v>178</v>
      </c>
      <c r="C2891" s="186" t="s">
        <v>3230</v>
      </c>
      <c r="D2891" s="186">
        <v>1.6</v>
      </c>
      <c r="E2891" s="186">
        <v>9.81</v>
      </c>
      <c r="F2891" s="186">
        <v>9.5299999999999994</v>
      </c>
      <c r="G2891" s="186">
        <v>6.1753525060000003</v>
      </c>
    </row>
    <row r="2892" spans="1:7" ht="14.4">
      <c r="A2892" s="186">
        <v>2891</v>
      </c>
      <c r="B2892" s="186" t="s">
        <v>536</v>
      </c>
      <c r="C2892" s="186" t="s">
        <v>3231</v>
      </c>
      <c r="D2892" s="186">
        <v>352.6</v>
      </c>
      <c r="E2892" s="186">
        <v>9.68</v>
      </c>
      <c r="F2892" s="186">
        <v>9.5299999999999994</v>
      </c>
      <c r="G2892" s="186">
        <v>6.1753525060000003</v>
      </c>
    </row>
    <row r="2893" spans="1:7" ht="14.4">
      <c r="A2893" s="186">
        <v>2892</v>
      </c>
      <c r="B2893" s="186" t="s">
        <v>164</v>
      </c>
      <c r="C2893" s="186" t="s">
        <v>3232</v>
      </c>
      <c r="D2893" s="186">
        <v>900.2</v>
      </c>
      <c r="E2893" s="186">
        <v>9.2100000000000009</v>
      </c>
      <c r="F2893" s="186">
        <v>9.5299999999999994</v>
      </c>
      <c r="G2893" s="186">
        <v>6.1753525060000003</v>
      </c>
    </row>
    <row r="2894" spans="1:7" ht="14.4">
      <c r="A2894" s="186">
        <v>2893</v>
      </c>
      <c r="B2894" s="186" t="s">
        <v>834</v>
      </c>
      <c r="C2894" s="186" t="s">
        <v>3233</v>
      </c>
      <c r="D2894" s="187">
        <v>3563.1</v>
      </c>
      <c r="E2894" s="186">
        <v>9.7799999999999994</v>
      </c>
      <c r="F2894" s="186">
        <v>9.5299999999999994</v>
      </c>
      <c r="G2894" s="186">
        <v>6.1753525060000003</v>
      </c>
    </row>
    <row r="2895" spans="1:7" ht="14.4">
      <c r="A2895" s="186">
        <v>2894</v>
      </c>
      <c r="B2895" s="186" t="s">
        <v>178</v>
      </c>
      <c r="C2895" s="186" t="s">
        <v>3234</v>
      </c>
      <c r="D2895" s="186">
        <v>0.1</v>
      </c>
      <c r="E2895" s="186">
        <v>10.08</v>
      </c>
      <c r="F2895" s="186">
        <v>9.5399999999999991</v>
      </c>
      <c r="G2895" s="186">
        <v>6.1866383850000002</v>
      </c>
    </row>
    <row r="2896" spans="1:7" ht="14.4">
      <c r="A2896" s="186">
        <v>2895</v>
      </c>
      <c r="B2896" s="186" t="s">
        <v>365</v>
      </c>
      <c r="C2896" s="186" t="s">
        <v>3235</v>
      </c>
      <c r="D2896" s="186">
        <v>303.60000000000002</v>
      </c>
      <c r="E2896" s="186">
        <v>9.7799999999999994</v>
      </c>
      <c r="F2896" s="186">
        <v>9.5399999999999991</v>
      </c>
      <c r="G2896" s="186">
        <v>6.1866383850000002</v>
      </c>
    </row>
    <row r="2897" spans="1:7" ht="14.4">
      <c r="A2897" s="186">
        <v>2896</v>
      </c>
      <c r="B2897" s="186" t="s">
        <v>553</v>
      </c>
      <c r="C2897" s="186" t="s">
        <v>3236</v>
      </c>
      <c r="D2897" s="186">
        <v>28.1</v>
      </c>
      <c r="E2897" s="186">
        <v>9.41</v>
      </c>
      <c r="F2897" s="186">
        <v>9.5399999999999991</v>
      </c>
      <c r="G2897" s="186">
        <v>6.1866383850000002</v>
      </c>
    </row>
    <row r="2898" spans="1:7" ht="14.4">
      <c r="A2898" s="186">
        <v>2897</v>
      </c>
      <c r="B2898" s="186" t="s">
        <v>175</v>
      </c>
      <c r="C2898" s="186" t="s">
        <v>3237</v>
      </c>
      <c r="D2898" s="186">
        <v>612.9</v>
      </c>
      <c r="E2898" s="186">
        <v>9.8800000000000008</v>
      </c>
      <c r="F2898" s="186">
        <v>9.5500000000000007</v>
      </c>
      <c r="G2898" s="186">
        <v>6.1979438570000003</v>
      </c>
    </row>
    <row r="2899" spans="1:7" ht="14.4">
      <c r="A2899" s="186">
        <v>2898</v>
      </c>
      <c r="B2899" s="186" t="s">
        <v>153</v>
      </c>
      <c r="C2899" s="186" t="s">
        <v>3238</v>
      </c>
      <c r="D2899" s="187">
        <v>2236</v>
      </c>
      <c r="E2899" s="186">
        <v>9.86</v>
      </c>
      <c r="F2899" s="186">
        <v>9.5500000000000007</v>
      </c>
      <c r="G2899" s="186">
        <v>6.1979438570000003</v>
      </c>
    </row>
    <row r="2900" spans="1:7" ht="14.4">
      <c r="A2900" s="186">
        <v>2899</v>
      </c>
      <c r="B2900" s="186" t="s">
        <v>1228</v>
      </c>
      <c r="C2900" s="186" t="s">
        <v>3239</v>
      </c>
      <c r="D2900" s="187">
        <v>8225.4</v>
      </c>
      <c r="E2900" s="186">
        <v>9.81</v>
      </c>
      <c r="F2900" s="186">
        <v>9.56</v>
      </c>
      <c r="G2900" s="186">
        <v>6.2092689529999996</v>
      </c>
    </row>
    <row r="2901" spans="1:7" ht="14.4">
      <c r="A2901" s="186">
        <v>2900</v>
      </c>
      <c r="B2901" s="186" t="s">
        <v>2269</v>
      </c>
      <c r="C2901" s="186" t="s">
        <v>3240</v>
      </c>
      <c r="D2901" s="186">
        <v>134.80000000000001</v>
      </c>
      <c r="E2901" s="186">
        <v>9.83</v>
      </c>
      <c r="F2901" s="186">
        <v>9.56</v>
      </c>
      <c r="G2901" s="186">
        <v>6.2092689529999996</v>
      </c>
    </row>
    <row r="2902" spans="1:7" ht="14.4">
      <c r="A2902" s="186">
        <v>2901</v>
      </c>
      <c r="B2902" s="186" t="s">
        <v>1228</v>
      </c>
      <c r="C2902" s="186" t="s">
        <v>3241</v>
      </c>
      <c r="D2902" s="187">
        <v>8705.9</v>
      </c>
      <c r="E2902" s="186">
        <v>9.83</v>
      </c>
      <c r="F2902" s="186">
        <v>9.57</v>
      </c>
      <c r="G2902" s="186">
        <v>6.220613707</v>
      </c>
    </row>
    <row r="2903" spans="1:7" ht="14.4">
      <c r="A2903" s="186">
        <v>2902</v>
      </c>
      <c r="B2903" s="186" t="s">
        <v>178</v>
      </c>
      <c r="C2903" s="186" t="s">
        <v>3242</v>
      </c>
      <c r="D2903" s="186">
        <v>15.3</v>
      </c>
      <c r="E2903" s="186">
        <v>9.85</v>
      </c>
      <c r="F2903" s="186">
        <v>9.57</v>
      </c>
      <c r="G2903" s="186">
        <v>6.220613707</v>
      </c>
    </row>
    <row r="2904" spans="1:7" ht="14.4">
      <c r="A2904" s="186">
        <v>2903</v>
      </c>
      <c r="B2904" s="186" t="s">
        <v>309</v>
      </c>
      <c r="C2904" s="186" t="s">
        <v>3243</v>
      </c>
      <c r="D2904" s="186">
        <v>232.9</v>
      </c>
      <c r="E2904" s="186">
        <v>9.75</v>
      </c>
      <c r="F2904" s="186">
        <v>9.57</v>
      </c>
      <c r="G2904" s="186">
        <v>6.220613707</v>
      </c>
    </row>
    <row r="2905" spans="1:7" ht="14.4">
      <c r="A2905" s="186">
        <v>2904</v>
      </c>
      <c r="B2905" s="186" t="s">
        <v>1168</v>
      </c>
      <c r="C2905" s="186" t="s">
        <v>3244</v>
      </c>
      <c r="D2905" s="186">
        <v>338.4</v>
      </c>
      <c r="E2905" s="186">
        <v>9.8699999999999992</v>
      </c>
      <c r="F2905" s="186">
        <v>9.58</v>
      </c>
      <c r="G2905" s="186">
        <v>6.2319781499999998</v>
      </c>
    </row>
    <row r="2906" spans="1:7" ht="14.4">
      <c r="A2906" s="186">
        <v>2905</v>
      </c>
      <c r="B2906" s="186" t="s">
        <v>451</v>
      </c>
      <c r="C2906" s="186" t="s">
        <v>3245</v>
      </c>
      <c r="D2906" s="186">
        <v>50.5</v>
      </c>
      <c r="E2906" s="186">
        <v>9.65</v>
      </c>
      <c r="F2906" s="186">
        <v>9.58</v>
      </c>
      <c r="G2906" s="186">
        <v>6.2319781499999998</v>
      </c>
    </row>
    <row r="2907" spans="1:7" ht="14.4">
      <c r="A2907" s="186">
        <v>2906</v>
      </c>
      <c r="B2907" s="186" t="s">
        <v>565</v>
      </c>
      <c r="C2907" s="186" t="s">
        <v>3246</v>
      </c>
      <c r="D2907" s="186">
        <v>70.900000000000006</v>
      </c>
      <c r="E2907" s="186">
        <v>9.58</v>
      </c>
      <c r="F2907" s="186">
        <v>9.58</v>
      </c>
      <c r="G2907" s="186">
        <v>6.2319781499999998</v>
      </c>
    </row>
    <row r="2908" spans="1:7" ht="14.4">
      <c r="A2908" s="186">
        <v>2907</v>
      </c>
      <c r="B2908" s="186" t="s">
        <v>241</v>
      </c>
      <c r="C2908" s="186" t="s">
        <v>3247</v>
      </c>
      <c r="D2908" s="186">
        <v>250.1</v>
      </c>
      <c r="E2908" s="186">
        <v>9.74</v>
      </c>
      <c r="F2908" s="186">
        <v>9.59</v>
      </c>
      <c r="G2908" s="186">
        <v>6.2433623149999997</v>
      </c>
    </row>
    <row r="2909" spans="1:7" ht="14.4">
      <c r="A2909" s="186">
        <v>2908</v>
      </c>
      <c r="B2909" s="186" t="s">
        <v>178</v>
      </c>
      <c r="C2909" s="186" t="s">
        <v>3248</v>
      </c>
      <c r="D2909" s="186">
        <v>920.3</v>
      </c>
      <c r="E2909" s="186">
        <v>10.130000000000001</v>
      </c>
      <c r="F2909" s="186">
        <v>9.59</v>
      </c>
      <c r="G2909" s="186">
        <v>6.2433623149999997</v>
      </c>
    </row>
    <row r="2910" spans="1:7" ht="14.4">
      <c r="A2910" s="186">
        <v>2909</v>
      </c>
      <c r="B2910" s="186" t="s">
        <v>422</v>
      </c>
      <c r="C2910" s="186" t="s">
        <v>3249</v>
      </c>
      <c r="D2910" s="186">
        <v>101.7</v>
      </c>
      <c r="E2910" s="186">
        <v>9.61</v>
      </c>
      <c r="F2910" s="186">
        <v>9.59</v>
      </c>
      <c r="G2910" s="186">
        <v>6.2433623149999997</v>
      </c>
    </row>
    <row r="2911" spans="1:7" ht="14.4">
      <c r="A2911" s="186">
        <v>2910</v>
      </c>
      <c r="B2911" s="186" t="s">
        <v>153</v>
      </c>
      <c r="C2911" s="186" t="s">
        <v>3250</v>
      </c>
      <c r="D2911" s="187">
        <v>3660.9</v>
      </c>
      <c r="E2911" s="186">
        <v>9.99</v>
      </c>
      <c r="F2911" s="186">
        <v>9.59</v>
      </c>
      <c r="G2911" s="186">
        <v>6.2433623149999997</v>
      </c>
    </row>
    <row r="2912" spans="1:7" ht="14.4">
      <c r="A2912" s="186">
        <v>2911</v>
      </c>
      <c r="B2912" s="186" t="s">
        <v>834</v>
      </c>
      <c r="C2912" s="186" t="s">
        <v>3251</v>
      </c>
      <c r="D2912" s="187">
        <v>1542.2</v>
      </c>
      <c r="E2912" s="186">
        <v>9.84</v>
      </c>
      <c r="F2912" s="186">
        <v>9.59</v>
      </c>
      <c r="G2912" s="186">
        <v>6.2433623149999997</v>
      </c>
    </row>
    <row r="2913" spans="1:7" ht="14.4">
      <c r="A2913" s="186">
        <v>2912</v>
      </c>
      <c r="B2913" s="186" t="s">
        <v>280</v>
      </c>
      <c r="C2913" s="186" t="s">
        <v>3252</v>
      </c>
      <c r="D2913" s="186">
        <v>15.6</v>
      </c>
      <c r="E2913" s="186">
        <v>10.35</v>
      </c>
      <c r="F2913" s="186">
        <v>9.59</v>
      </c>
      <c r="G2913" s="186">
        <v>6.2433623149999997</v>
      </c>
    </row>
    <row r="2914" spans="1:7" ht="14.4">
      <c r="A2914" s="186">
        <v>2913</v>
      </c>
      <c r="B2914" s="186" t="s">
        <v>178</v>
      </c>
      <c r="C2914" s="186" t="s">
        <v>3253</v>
      </c>
      <c r="D2914" s="186">
        <v>54.4</v>
      </c>
      <c r="E2914" s="186">
        <v>9.8800000000000008</v>
      </c>
      <c r="F2914" s="186">
        <v>9.6</v>
      </c>
      <c r="G2914" s="186">
        <v>6.2547662339999999</v>
      </c>
    </row>
    <row r="2915" spans="1:7" ht="14.4">
      <c r="A2915" s="186">
        <v>2914</v>
      </c>
      <c r="B2915" s="186" t="s">
        <v>422</v>
      </c>
      <c r="C2915" s="186" t="s">
        <v>3254</v>
      </c>
      <c r="D2915" s="186">
        <v>10.5</v>
      </c>
      <c r="E2915" s="186">
        <v>9.94</v>
      </c>
      <c r="F2915" s="186">
        <v>9.6</v>
      </c>
      <c r="G2915" s="186">
        <v>6.2547662339999999</v>
      </c>
    </row>
    <row r="2916" spans="1:7" ht="14.4">
      <c r="A2916" s="186">
        <v>2915</v>
      </c>
      <c r="B2916" s="186" t="s">
        <v>373</v>
      </c>
      <c r="C2916" s="186" t="s">
        <v>3255</v>
      </c>
      <c r="D2916" s="187">
        <v>1983.4</v>
      </c>
      <c r="E2916" s="186">
        <v>9.65</v>
      </c>
      <c r="F2916" s="186">
        <v>9.6</v>
      </c>
      <c r="G2916" s="186">
        <v>6.2547662339999999</v>
      </c>
    </row>
    <row r="2917" spans="1:7" ht="14.4">
      <c r="A2917" s="186">
        <v>2916</v>
      </c>
      <c r="B2917" s="186" t="s">
        <v>271</v>
      </c>
      <c r="C2917" s="186" t="s">
        <v>3256</v>
      </c>
      <c r="D2917" s="186">
        <v>397.6</v>
      </c>
      <c r="E2917" s="186">
        <v>9.16</v>
      </c>
      <c r="F2917" s="186">
        <v>9.61</v>
      </c>
      <c r="G2917" s="186">
        <v>6.2661899400000003</v>
      </c>
    </row>
    <row r="2918" spans="1:7" ht="14.4">
      <c r="A2918" s="186">
        <v>2917</v>
      </c>
      <c r="B2918" s="186" t="s">
        <v>365</v>
      </c>
      <c r="C2918" s="186" t="s">
        <v>3257</v>
      </c>
      <c r="D2918" s="187">
        <v>4621</v>
      </c>
      <c r="E2918" s="186">
        <v>9.93</v>
      </c>
      <c r="F2918" s="186">
        <v>9.61</v>
      </c>
      <c r="G2918" s="186">
        <v>6.2661899400000003</v>
      </c>
    </row>
    <row r="2919" spans="1:7" ht="14.4">
      <c r="A2919" s="186">
        <v>2918</v>
      </c>
      <c r="B2919" s="186" t="s">
        <v>565</v>
      </c>
      <c r="C2919" s="186" t="s">
        <v>3258</v>
      </c>
      <c r="D2919" s="186">
        <v>710.2</v>
      </c>
      <c r="E2919" s="186">
        <v>9.75</v>
      </c>
      <c r="F2919" s="186">
        <v>9.61</v>
      </c>
      <c r="G2919" s="186">
        <v>6.2661899400000003</v>
      </c>
    </row>
    <row r="2920" spans="1:7" ht="14.4">
      <c r="A2920" s="186">
        <v>2919</v>
      </c>
      <c r="B2920" s="186" t="s">
        <v>317</v>
      </c>
      <c r="C2920" s="186" t="s">
        <v>3259</v>
      </c>
      <c r="D2920" s="186">
        <v>589.20000000000005</v>
      </c>
      <c r="E2920" s="186">
        <v>9.7799999999999994</v>
      </c>
      <c r="F2920" s="186">
        <v>9.61</v>
      </c>
      <c r="G2920" s="186">
        <v>6.2661899400000003</v>
      </c>
    </row>
    <row r="2921" spans="1:7" ht="14.4">
      <c r="A2921" s="186">
        <v>2920</v>
      </c>
      <c r="B2921" s="186" t="s">
        <v>483</v>
      </c>
      <c r="C2921" s="186" t="s">
        <v>3260</v>
      </c>
      <c r="D2921" s="187">
        <v>8207.2999999999993</v>
      </c>
      <c r="E2921" s="186">
        <v>9.69</v>
      </c>
      <c r="F2921" s="186">
        <v>9.6199999999999992</v>
      </c>
      <c r="G2921" s="186">
        <v>6.2776334650000001</v>
      </c>
    </row>
    <row r="2922" spans="1:7" ht="14.4">
      <c r="A2922" s="186">
        <v>2921</v>
      </c>
      <c r="B2922" s="186" t="s">
        <v>280</v>
      </c>
      <c r="C2922" s="186" t="s">
        <v>3261</v>
      </c>
      <c r="D2922" s="187">
        <v>2560.1</v>
      </c>
      <c r="E2922" s="186">
        <v>9.57</v>
      </c>
      <c r="F2922" s="186">
        <v>9.6199999999999992</v>
      </c>
      <c r="G2922" s="186">
        <v>6.2776334650000001</v>
      </c>
    </row>
    <row r="2923" spans="1:7" ht="14.4">
      <c r="A2923" s="186">
        <v>2922</v>
      </c>
      <c r="B2923" s="186" t="s">
        <v>1168</v>
      </c>
      <c r="C2923" s="186" t="s">
        <v>3262</v>
      </c>
      <c r="D2923" s="186">
        <v>1.7</v>
      </c>
      <c r="E2923" s="186">
        <v>10.050000000000001</v>
      </c>
      <c r="F2923" s="186">
        <v>9.6300000000000008</v>
      </c>
      <c r="G2923" s="186">
        <v>6.2890968410000001</v>
      </c>
    </row>
    <row r="2924" spans="1:7" ht="14.4">
      <c r="A2924" s="186">
        <v>2923</v>
      </c>
      <c r="B2924" s="186" t="s">
        <v>1228</v>
      </c>
      <c r="C2924" s="186" t="s">
        <v>3263</v>
      </c>
      <c r="D2924" s="187">
        <v>81982.7</v>
      </c>
      <c r="E2924" s="186">
        <v>9.57</v>
      </c>
      <c r="F2924" s="186">
        <v>9.6300000000000008</v>
      </c>
      <c r="G2924" s="186">
        <v>6.2890968410000001</v>
      </c>
    </row>
    <row r="2925" spans="1:7" ht="14.4">
      <c r="A2925" s="186">
        <v>2924</v>
      </c>
      <c r="B2925" s="186" t="s">
        <v>1168</v>
      </c>
      <c r="C2925" s="186" t="s">
        <v>3264</v>
      </c>
      <c r="D2925" s="186">
        <v>67.7</v>
      </c>
      <c r="E2925" s="186">
        <v>10.050000000000001</v>
      </c>
      <c r="F2925" s="186">
        <v>9.64</v>
      </c>
      <c r="G2925" s="186">
        <v>6.3005801029999997</v>
      </c>
    </row>
    <row r="2926" spans="1:7" ht="14.4">
      <c r="A2926" s="186">
        <v>2925</v>
      </c>
      <c r="B2926" s="186" t="s">
        <v>1228</v>
      </c>
      <c r="C2926" s="186" t="s">
        <v>3265</v>
      </c>
      <c r="D2926" s="186">
        <v>291.39999999999998</v>
      </c>
      <c r="E2926" s="186">
        <v>9.9</v>
      </c>
      <c r="F2926" s="186">
        <v>9.64</v>
      </c>
      <c r="G2926" s="186">
        <v>6.3005801029999997</v>
      </c>
    </row>
    <row r="2927" spans="1:7" ht="14.4">
      <c r="A2927" s="186">
        <v>2926</v>
      </c>
      <c r="B2927" s="186" t="s">
        <v>1228</v>
      </c>
      <c r="C2927" s="186" t="s">
        <v>3266</v>
      </c>
      <c r="D2927" s="187">
        <v>2370</v>
      </c>
      <c r="E2927" s="186">
        <v>9.9</v>
      </c>
      <c r="F2927" s="186">
        <v>9.64</v>
      </c>
      <c r="G2927" s="186">
        <v>6.3005801029999997</v>
      </c>
    </row>
    <row r="2928" spans="1:7" ht="14.4">
      <c r="A2928" s="186">
        <v>2927</v>
      </c>
      <c r="B2928" s="186" t="s">
        <v>1228</v>
      </c>
      <c r="C2928" s="186" t="s">
        <v>3267</v>
      </c>
      <c r="D2928" s="186">
        <v>30.7</v>
      </c>
      <c r="E2928" s="186">
        <v>9.9</v>
      </c>
      <c r="F2928" s="186">
        <v>9.64</v>
      </c>
      <c r="G2928" s="186">
        <v>6.3005801029999997</v>
      </c>
    </row>
    <row r="2929" spans="1:7" ht="14.4">
      <c r="A2929" s="186">
        <v>2928</v>
      </c>
      <c r="B2929" s="186" t="s">
        <v>252</v>
      </c>
      <c r="C2929" s="186" t="s">
        <v>3268</v>
      </c>
      <c r="D2929" s="186">
        <v>656.2</v>
      </c>
      <c r="E2929" s="186">
        <v>9.41</v>
      </c>
      <c r="F2929" s="186">
        <v>9.64</v>
      </c>
      <c r="G2929" s="186">
        <v>6.3005801029999997</v>
      </c>
    </row>
    <row r="2930" spans="1:7" ht="14.4">
      <c r="A2930" s="186">
        <v>2929</v>
      </c>
      <c r="B2930" s="186" t="s">
        <v>365</v>
      </c>
      <c r="C2930" s="186" t="s">
        <v>3269</v>
      </c>
      <c r="D2930" s="186">
        <v>232.8</v>
      </c>
      <c r="E2930" s="186">
        <v>9.86</v>
      </c>
      <c r="F2930" s="186">
        <v>9.64</v>
      </c>
      <c r="G2930" s="186">
        <v>6.3005801029999997</v>
      </c>
    </row>
    <row r="2931" spans="1:7" ht="14.4">
      <c r="A2931" s="186">
        <v>2930</v>
      </c>
      <c r="B2931" s="186" t="s">
        <v>1168</v>
      </c>
      <c r="C2931" s="186" t="s">
        <v>3270</v>
      </c>
      <c r="D2931" s="186">
        <v>27.3</v>
      </c>
      <c r="E2931" s="186">
        <v>10.07</v>
      </c>
      <c r="F2931" s="186">
        <v>9.65</v>
      </c>
      <c r="G2931" s="186">
        <v>6.3120832809999996</v>
      </c>
    </row>
    <row r="2932" spans="1:7" ht="14.4">
      <c r="A2932" s="186">
        <v>2931</v>
      </c>
      <c r="B2932" s="186" t="s">
        <v>122</v>
      </c>
      <c r="C2932" s="186" t="s">
        <v>3271</v>
      </c>
      <c r="D2932" s="187">
        <v>5415.4</v>
      </c>
      <c r="E2932" s="186">
        <v>9.9700000000000006</v>
      </c>
      <c r="F2932" s="186">
        <v>9.65</v>
      </c>
      <c r="G2932" s="186">
        <v>6.3120832809999996</v>
      </c>
    </row>
    <row r="2933" spans="1:7" ht="14.4">
      <c r="A2933" s="186">
        <v>2932</v>
      </c>
      <c r="B2933" s="186" t="s">
        <v>415</v>
      </c>
      <c r="C2933" s="186" t="s">
        <v>3272</v>
      </c>
      <c r="D2933" s="186">
        <v>86.7</v>
      </c>
      <c r="E2933" s="186">
        <v>9.66</v>
      </c>
      <c r="F2933" s="186">
        <v>9.65</v>
      </c>
      <c r="G2933" s="186">
        <v>6.3120832809999996</v>
      </c>
    </row>
    <row r="2934" spans="1:7" ht="14.4">
      <c r="A2934" s="186">
        <v>2933</v>
      </c>
      <c r="B2934" s="186" t="s">
        <v>280</v>
      </c>
      <c r="C2934" s="186" t="s">
        <v>3273</v>
      </c>
      <c r="D2934" s="187">
        <v>4936</v>
      </c>
      <c r="E2934" s="186">
        <v>9.92</v>
      </c>
      <c r="F2934" s="186">
        <v>9.65</v>
      </c>
      <c r="G2934" s="186">
        <v>6.3120832809999996</v>
      </c>
    </row>
    <row r="2935" spans="1:7" ht="14.4">
      <c r="A2935" s="186">
        <v>2934</v>
      </c>
      <c r="B2935" s="186" t="s">
        <v>340</v>
      </c>
      <c r="C2935" s="186" t="s">
        <v>3274</v>
      </c>
      <c r="D2935" s="186">
        <v>559.1</v>
      </c>
      <c r="E2935" s="186">
        <v>9.52</v>
      </c>
      <c r="F2935" s="186">
        <v>9.65</v>
      </c>
      <c r="G2935" s="186">
        <v>6.3120832809999996</v>
      </c>
    </row>
    <row r="2936" spans="1:7" ht="14.4">
      <c r="A2936" s="186">
        <v>2935</v>
      </c>
      <c r="B2936" s="186" t="s">
        <v>146</v>
      </c>
      <c r="C2936" s="186" t="s">
        <v>3275</v>
      </c>
      <c r="D2936" s="186">
        <v>330.9</v>
      </c>
      <c r="E2936" s="186">
        <v>9.8699999999999992</v>
      </c>
      <c r="F2936" s="186">
        <v>9.66</v>
      </c>
      <c r="G2936" s="186">
        <v>6.3236064089999999</v>
      </c>
    </row>
    <row r="2937" spans="1:7" ht="14.4">
      <c r="A2937" s="186">
        <v>2936</v>
      </c>
      <c r="B2937" s="186" t="s">
        <v>1168</v>
      </c>
      <c r="C2937" s="186" t="s">
        <v>3276</v>
      </c>
      <c r="D2937" s="186">
        <v>5.8</v>
      </c>
      <c r="E2937" s="186">
        <v>10.09</v>
      </c>
      <c r="F2937" s="186">
        <v>9.67</v>
      </c>
      <c r="G2937" s="186">
        <v>6.3351495199999999</v>
      </c>
    </row>
    <row r="2938" spans="1:7" ht="14.4">
      <c r="A2938" s="186">
        <v>2937</v>
      </c>
      <c r="B2938" s="186" t="s">
        <v>422</v>
      </c>
      <c r="C2938" s="186" t="s">
        <v>3277</v>
      </c>
      <c r="D2938" s="186">
        <v>454.9</v>
      </c>
      <c r="E2938" s="186">
        <v>10</v>
      </c>
      <c r="F2938" s="186">
        <v>9.67</v>
      </c>
      <c r="G2938" s="186">
        <v>6.3351495199999999</v>
      </c>
    </row>
    <row r="2939" spans="1:7" ht="14.4">
      <c r="A2939" s="186">
        <v>2938</v>
      </c>
      <c r="B2939" s="186" t="s">
        <v>3085</v>
      </c>
      <c r="C2939" s="186" t="s">
        <v>3278</v>
      </c>
      <c r="D2939" s="186">
        <v>128.30000000000001</v>
      </c>
      <c r="E2939" s="186">
        <v>9.9</v>
      </c>
      <c r="F2939" s="186">
        <v>9.67</v>
      </c>
      <c r="G2939" s="186">
        <v>6.3351495199999999</v>
      </c>
    </row>
    <row r="2940" spans="1:7" ht="14.4">
      <c r="A2940" s="186">
        <v>2939</v>
      </c>
      <c r="B2940" s="186" t="s">
        <v>834</v>
      </c>
      <c r="C2940" s="186" t="s">
        <v>3279</v>
      </c>
      <c r="D2940" s="186">
        <v>248.5</v>
      </c>
      <c r="E2940" s="186">
        <v>9.68</v>
      </c>
      <c r="F2940" s="186">
        <v>9.67</v>
      </c>
      <c r="G2940" s="186">
        <v>6.3351495199999999</v>
      </c>
    </row>
    <row r="2941" spans="1:7" ht="14.4">
      <c r="A2941" s="186">
        <v>2940</v>
      </c>
      <c r="B2941" s="186" t="s">
        <v>571</v>
      </c>
      <c r="C2941" s="186" t="s">
        <v>3280</v>
      </c>
      <c r="D2941" s="186">
        <v>140.5</v>
      </c>
      <c r="E2941" s="186">
        <v>9.81</v>
      </c>
      <c r="F2941" s="186">
        <v>9.68</v>
      </c>
      <c r="G2941" s="186">
        <v>6.3467126460000003</v>
      </c>
    </row>
    <row r="2942" spans="1:7" ht="14.4">
      <c r="A2942" s="186">
        <v>2941</v>
      </c>
      <c r="B2942" s="186" t="s">
        <v>194</v>
      </c>
      <c r="C2942" s="186" t="s">
        <v>3281</v>
      </c>
      <c r="D2942" s="186">
        <v>139.1</v>
      </c>
      <c r="E2942" s="186">
        <v>9.64</v>
      </c>
      <c r="F2942" s="186">
        <v>9.68</v>
      </c>
      <c r="G2942" s="186">
        <v>6.3467126460000003</v>
      </c>
    </row>
    <row r="2943" spans="1:7" ht="14.4">
      <c r="A2943" s="186">
        <v>2942</v>
      </c>
      <c r="B2943" s="186" t="s">
        <v>365</v>
      </c>
      <c r="C2943" s="186" t="s">
        <v>3282</v>
      </c>
      <c r="D2943" s="186">
        <v>50.3</v>
      </c>
      <c r="E2943" s="186">
        <v>10.09</v>
      </c>
      <c r="F2943" s="186">
        <v>9.68</v>
      </c>
      <c r="G2943" s="186">
        <v>6.3467126460000003</v>
      </c>
    </row>
    <row r="2944" spans="1:7" ht="14.4">
      <c r="A2944" s="186">
        <v>2943</v>
      </c>
      <c r="B2944" s="186" t="s">
        <v>3198</v>
      </c>
      <c r="C2944" s="186" t="s">
        <v>3283</v>
      </c>
      <c r="D2944" s="187">
        <v>1497.9</v>
      </c>
      <c r="E2944" s="186">
        <v>9.91</v>
      </c>
      <c r="F2944" s="186">
        <v>9.6999999999999993</v>
      </c>
      <c r="G2944" s="186">
        <v>6.3698990760000003</v>
      </c>
    </row>
    <row r="2945" spans="1:7" ht="14.4">
      <c r="A2945" s="186">
        <v>2944</v>
      </c>
      <c r="B2945" s="186" t="s">
        <v>175</v>
      </c>
      <c r="C2945" s="186" t="s">
        <v>3284</v>
      </c>
      <c r="D2945" s="186">
        <v>622.5</v>
      </c>
      <c r="E2945" s="186">
        <v>9.8699999999999992</v>
      </c>
      <c r="F2945" s="186">
        <v>9.7100000000000009</v>
      </c>
      <c r="G2945" s="186">
        <v>6.381522446</v>
      </c>
    </row>
    <row r="2946" spans="1:7" ht="14.4">
      <c r="A2946" s="186">
        <v>2945</v>
      </c>
      <c r="B2946" s="186" t="s">
        <v>175</v>
      </c>
      <c r="C2946" s="186" t="s">
        <v>3285</v>
      </c>
      <c r="D2946" s="186">
        <v>279.8</v>
      </c>
      <c r="E2946" s="186">
        <v>10.11</v>
      </c>
      <c r="F2946" s="186">
        <v>9.7100000000000009</v>
      </c>
      <c r="G2946" s="186">
        <v>6.381522446</v>
      </c>
    </row>
    <row r="2947" spans="1:7" ht="14.4">
      <c r="A2947" s="186">
        <v>2946</v>
      </c>
      <c r="B2947" s="186" t="s">
        <v>477</v>
      </c>
      <c r="C2947" s="186" t="s">
        <v>3286</v>
      </c>
      <c r="D2947" s="186">
        <v>0.6</v>
      </c>
      <c r="E2947" s="186">
        <v>9.9700000000000006</v>
      </c>
      <c r="F2947" s="186">
        <v>9.7100000000000009</v>
      </c>
      <c r="G2947" s="186">
        <v>6.381522446</v>
      </c>
    </row>
    <row r="2948" spans="1:7" ht="14.4">
      <c r="A2948" s="186">
        <v>2947</v>
      </c>
      <c r="B2948" s="186" t="s">
        <v>297</v>
      </c>
      <c r="C2948" s="186" t="s">
        <v>3287</v>
      </c>
      <c r="D2948" s="186">
        <v>164</v>
      </c>
      <c r="E2948" s="186">
        <v>9.64</v>
      </c>
      <c r="F2948" s="186">
        <v>9.7100000000000009</v>
      </c>
      <c r="G2948" s="186">
        <v>6.381522446</v>
      </c>
    </row>
    <row r="2949" spans="1:7" ht="14.4">
      <c r="A2949" s="186">
        <v>2948</v>
      </c>
      <c r="B2949" s="186" t="s">
        <v>2307</v>
      </c>
      <c r="C2949" s="186" t="s">
        <v>3288</v>
      </c>
      <c r="D2949" s="187">
        <v>1613.2</v>
      </c>
      <c r="E2949" s="186">
        <v>9.91</v>
      </c>
      <c r="F2949" s="186">
        <v>9.7100000000000009</v>
      </c>
      <c r="G2949" s="186">
        <v>6.381522446</v>
      </c>
    </row>
    <row r="2950" spans="1:7" ht="14.4">
      <c r="A2950" s="186">
        <v>2949</v>
      </c>
      <c r="B2950" s="186" t="s">
        <v>663</v>
      </c>
      <c r="C2950" s="186" t="s">
        <v>3289</v>
      </c>
      <c r="D2950" s="187">
        <v>1139</v>
      </c>
      <c r="E2950" s="186">
        <v>9.98</v>
      </c>
      <c r="F2950" s="186">
        <v>9.7100000000000009</v>
      </c>
      <c r="G2950" s="186">
        <v>6.381522446</v>
      </c>
    </row>
    <row r="2951" spans="1:7" ht="14.4">
      <c r="A2951" s="186">
        <v>2950</v>
      </c>
      <c r="B2951" s="186" t="s">
        <v>1605</v>
      </c>
      <c r="C2951" s="186" t="s">
        <v>3290</v>
      </c>
      <c r="D2951" s="187">
        <v>1430.2</v>
      </c>
      <c r="E2951" s="186">
        <v>9.7200000000000006</v>
      </c>
      <c r="F2951" s="186">
        <v>9.7200000000000006</v>
      </c>
      <c r="G2951" s="186">
        <v>6.3931659630000004</v>
      </c>
    </row>
    <row r="2952" spans="1:7" ht="14.4">
      <c r="A2952" s="186">
        <v>2951</v>
      </c>
      <c r="B2952" s="186" t="s">
        <v>373</v>
      </c>
      <c r="C2952" s="186" t="s">
        <v>3291</v>
      </c>
      <c r="D2952" s="187">
        <v>1905.4</v>
      </c>
      <c r="E2952" s="186">
        <v>10.039999999999999</v>
      </c>
      <c r="F2952" s="186">
        <v>9.7200000000000006</v>
      </c>
      <c r="G2952" s="186">
        <v>6.3931659630000004</v>
      </c>
    </row>
    <row r="2953" spans="1:7" ht="14.4">
      <c r="A2953" s="186">
        <v>2952</v>
      </c>
      <c r="B2953" s="186" t="s">
        <v>280</v>
      </c>
      <c r="C2953" s="186" t="s">
        <v>3292</v>
      </c>
      <c r="D2953" s="186">
        <v>263.2</v>
      </c>
      <c r="E2953" s="186">
        <v>10.199999999999999</v>
      </c>
      <c r="F2953" s="186">
        <v>9.7200000000000006</v>
      </c>
      <c r="G2953" s="186">
        <v>6.3931659630000004</v>
      </c>
    </row>
    <row r="2954" spans="1:7" ht="14.4">
      <c r="A2954" s="186">
        <v>2953</v>
      </c>
      <c r="B2954" s="186" t="s">
        <v>187</v>
      </c>
      <c r="C2954" s="186" t="s">
        <v>3293</v>
      </c>
      <c r="D2954" s="187">
        <v>8176.7</v>
      </c>
      <c r="E2954" s="186">
        <v>9.94</v>
      </c>
      <c r="F2954" s="186">
        <v>9.73</v>
      </c>
      <c r="G2954" s="186">
        <v>6.404829661</v>
      </c>
    </row>
    <row r="2955" spans="1:7" ht="14.4">
      <c r="A2955" s="186">
        <v>2954</v>
      </c>
      <c r="B2955" s="186" t="s">
        <v>168</v>
      </c>
      <c r="C2955" s="186" t="s">
        <v>3294</v>
      </c>
      <c r="D2955" s="186">
        <v>94.8</v>
      </c>
      <c r="E2955" s="186">
        <v>10.09</v>
      </c>
      <c r="F2955" s="186">
        <v>9.73</v>
      </c>
      <c r="G2955" s="186">
        <v>6.404829661</v>
      </c>
    </row>
    <row r="2956" spans="1:7" ht="14.4">
      <c r="A2956" s="186">
        <v>2955</v>
      </c>
      <c r="B2956" s="186" t="s">
        <v>571</v>
      </c>
      <c r="C2956" s="186" t="s">
        <v>3295</v>
      </c>
      <c r="D2956" s="186">
        <v>14</v>
      </c>
      <c r="E2956" s="186">
        <v>9.9700000000000006</v>
      </c>
      <c r="F2956" s="186">
        <v>9.74</v>
      </c>
      <c r="G2956" s="186">
        <v>6.4165135720000004</v>
      </c>
    </row>
    <row r="2957" spans="1:7" ht="14.4">
      <c r="A2957" s="186">
        <v>2956</v>
      </c>
      <c r="B2957" s="186" t="s">
        <v>365</v>
      </c>
      <c r="C2957" s="186" t="s">
        <v>3296</v>
      </c>
      <c r="D2957" s="186">
        <v>14.5</v>
      </c>
      <c r="E2957" s="186">
        <v>9.64</v>
      </c>
      <c r="F2957" s="186">
        <v>9.74</v>
      </c>
      <c r="G2957" s="186">
        <v>6.4165135720000004</v>
      </c>
    </row>
    <row r="2958" spans="1:7" ht="14.4">
      <c r="A2958" s="186">
        <v>2957</v>
      </c>
      <c r="B2958" s="186" t="s">
        <v>133</v>
      </c>
      <c r="C2958" s="186" t="s">
        <v>3297</v>
      </c>
      <c r="D2958" s="187">
        <v>5357.9</v>
      </c>
      <c r="E2958" s="186">
        <v>9.9499999999999993</v>
      </c>
      <c r="F2958" s="186">
        <v>9.74</v>
      </c>
      <c r="G2958" s="186">
        <v>6.4165135720000004</v>
      </c>
    </row>
    <row r="2959" spans="1:7" ht="14.4">
      <c r="A2959" s="186">
        <v>2958</v>
      </c>
      <c r="B2959" s="186" t="s">
        <v>1228</v>
      </c>
      <c r="C2959" s="186" t="s">
        <v>3298</v>
      </c>
      <c r="D2959" s="187">
        <v>16225.1</v>
      </c>
      <c r="E2959" s="186">
        <v>10.01</v>
      </c>
      <c r="F2959" s="186">
        <v>9.75</v>
      </c>
      <c r="G2959" s="186">
        <v>6.428217729</v>
      </c>
    </row>
    <row r="2960" spans="1:7" ht="14.4">
      <c r="A2960" s="186">
        <v>2959</v>
      </c>
      <c r="B2960" s="186" t="s">
        <v>571</v>
      </c>
      <c r="C2960" s="186" t="s">
        <v>3299</v>
      </c>
      <c r="D2960" s="186">
        <v>19.600000000000001</v>
      </c>
      <c r="E2960" s="186">
        <v>9.8800000000000008</v>
      </c>
      <c r="F2960" s="186">
        <v>9.75</v>
      </c>
      <c r="G2960" s="186">
        <v>6.428217729</v>
      </c>
    </row>
    <row r="2961" spans="1:7" ht="14.4">
      <c r="A2961" s="186">
        <v>2960</v>
      </c>
      <c r="B2961" s="186" t="s">
        <v>365</v>
      </c>
      <c r="C2961" s="186" t="s">
        <v>3300</v>
      </c>
      <c r="D2961" s="186">
        <v>180.1</v>
      </c>
      <c r="E2961" s="186">
        <v>10.15</v>
      </c>
      <c r="F2961" s="186">
        <v>9.75</v>
      </c>
      <c r="G2961" s="186">
        <v>6.428217729</v>
      </c>
    </row>
    <row r="2962" spans="1:7" ht="14.4">
      <c r="A2962" s="186">
        <v>2961</v>
      </c>
      <c r="B2962" s="186" t="s">
        <v>133</v>
      </c>
      <c r="C2962" s="186" t="s">
        <v>3301</v>
      </c>
      <c r="D2962" s="186">
        <v>32</v>
      </c>
      <c r="E2962" s="186">
        <v>10.29</v>
      </c>
      <c r="F2962" s="186">
        <v>9.75</v>
      </c>
      <c r="G2962" s="186">
        <v>6.428217729</v>
      </c>
    </row>
    <row r="2963" spans="1:7" ht="14.4">
      <c r="A2963" s="186">
        <v>2962</v>
      </c>
      <c r="B2963" s="186" t="s">
        <v>1290</v>
      </c>
      <c r="C2963" s="186" t="s">
        <v>3302</v>
      </c>
      <c r="D2963" s="186">
        <v>2.6</v>
      </c>
      <c r="E2963" s="186">
        <v>10.01</v>
      </c>
      <c r="F2963" s="186">
        <v>9.76</v>
      </c>
      <c r="G2963" s="186">
        <v>6.4399421669999999</v>
      </c>
    </row>
    <row r="2964" spans="1:7" ht="14.4">
      <c r="A2964" s="186">
        <v>2963</v>
      </c>
      <c r="B2964" s="186" t="s">
        <v>2307</v>
      </c>
      <c r="C2964" s="186" t="s">
        <v>3303</v>
      </c>
      <c r="D2964" s="186">
        <v>168</v>
      </c>
      <c r="E2964" s="186">
        <v>10.07</v>
      </c>
      <c r="F2964" s="186">
        <v>9.76</v>
      </c>
      <c r="G2964" s="186">
        <v>6.4399421669999999</v>
      </c>
    </row>
    <row r="2965" spans="1:7" ht="14.4">
      <c r="A2965" s="186">
        <v>2964</v>
      </c>
      <c r="B2965" s="186" t="s">
        <v>2307</v>
      </c>
      <c r="C2965" s="186" t="s">
        <v>3304</v>
      </c>
      <c r="D2965" s="186">
        <v>13</v>
      </c>
      <c r="E2965" s="186">
        <v>9.86</v>
      </c>
      <c r="F2965" s="186">
        <v>9.76</v>
      </c>
      <c r="G2965" s="186">
        <v>6.4399421669999999</v>
      </c>
    </row>
    <row r="2966" spans="1:7" ht="14.4">
      <c r="A2966" s="186">
        <v>2965</v>
      </c>
      <c r="B2966" s="186" t="s">
        <v>280</v>
      </c>
      <c r="C2966" s="186" t="s">
        <v>3305</v>
      </c>
      <c r="D2966" s="186">
        <v>274.7</v>
      </c>
      <c r="E2966" s="186">
        <v>9.57</v>
      </c>
      <c r="F2966" s="186">
        <v>9.76</v>
      </c>
      <c r="G2966" s="186">
        <v>6.4399421669999999</v>
      </c>
    </row>
    <row r="2967" spans="1:7" ht="14.4">
      <c r="A2967" s="186">
        <v>2966</v>
      </c>
      <c r="B2967" s="186" t="s">
        <v>1228</v>
      </c>
      <c r="C2967" s="186" t="s">
        <v>3306</v>
      </c>
      <c r="D2967" s="186">
        <v>575</v>
      </c>
      <c r="E2967" s="186">
        <v>10.08</v>
      </c>
      <c r="F2967" s="186">
        <v>9.77</v>
      </c>
      <c r="G2967" s="186">
        <v>6.451686918</v>
      </c>
    </row>
    <row r="2968" spans="1:7" ht="14.4">
      <c r="A2968" s="186">
        <v>2967</v>
      </c>
      <c r="B2968" s="186" t="s">
        <v>286</v>
      </c>
      <c r="C2968" s="186" t="s">
        <v>3307</v>
      </c>
      <c r="D2968" s="186">
        <v>529.29999999999995</v>
      </c>
      <c r="E2968" s="186">
        <v>9.8000000000000007</v>
      </c>
      <c r="F2968" s="186">
        <v>9.77</v>
      </c>
      <c r="G2968" s="186">
        <v>6.451686918</v>
      </c>
    </row>
    <row r="2969" spans="1:7" ht="14.4">
      <c r="A2969" s="186">
        <v>2968</v>
      </c>
      <c r="B2969" s="186" t="s">
        <v>477</v>
      </c>
      <c r="C2969" s="186" t="s">
        <v>3308</v>
      </c>
      <c r="D2969" s="186">
        <v>7.4</v>
      </c>
      <c r="E2969" s="186">
        <v>10.02</v>
      </c>
      <c r="F2969" s="186">
        <v>9.77</v>
      </c>
      <c r="G2969" s="186">
        <v>6.451686918</v>
      </c>
    </row>
    <row r="2970" spans="1:7" ht="14.4">
      <c r="A2970" s="186">
        <v>2969</v>
      </c>
      <c r="B2970" s="186" t="s">
        <v>415</v>
      </c>
      <c r="C2970" s="186" t="s">
        <v>3309</v>
      </c>
      <c r="D2970" s="186">
        <v>689.2</v>
      </c>
      <c r="E2970" s="186">
        <v>9.7899999999999991</v>
      </c>
      <c r="F2970" s="186">
        <v>9.77</v>
      </c>
      <c r="G2970" s="186">
        <v>6.451686918</v>
      </c>
    </row>
    <row r="2971" spans="1:7" ht="14.4">
      <c r="A2971" s="186">
        <v>2970</v>
      </c>
      <c r="B2971" s="186" t="s">
        <v>553</v>
      </c>
      <c r="C2971" s="186" t="s">
        <v>3310</v>
      </c>
      <c r="D2971" s="186">
        <v>951.7</v>
      </c>
      <c r="E2971" s="186">
        <v>9.98</v>
      </c>
      <c r="F2971" s="186">
        <v>9.7799999999999994</v>
      </c>
      <c r="G2971" s="186">
        <v>6.4634520149999997</v>
      </c>
    </row>
    <row r="2972" spans="1:7" ht="14.4">
      <c r="A2972" s="186">
        <v>2971</v>
      </c>
      <c r="B2972" s="186" t="s">
        <v>234</v>
      </c>
      <c r="C2972" s="186" t="s">
        <v>3311</v>
      </c>
      <c r="D2972" s="186">
        <v>516.6</v>
      </c>
      <c r="E2972" s="186">
        <v>10.26</v>
      </c>
      <c r="F2972" s="186">
        <v>9.7899999999999991</v>
      </c>
      <c r="G2972" s="186">
        <v>6.4752374919999998</v>
      </c>
    </row>
    <row r="2973" spans="1:7" ht="14.4">
      <c r="A2973" s="186">
        <v>2972</v>
      </c>
      <c r="B2973" s="186" t="s">
        <v>1168</v>
      </c>
      <c r="C2973" s="186" t="s">
        <v>3312</v>
      </c>
      <c r="D2973" s="186">
        <v>20.9</v>
      </c>
      <c r="E2973" s="186">
        <v>9.9</v>
      </c>
      <c r="F2973" s="186">
        <v>9.7899999999999991</v>
      </c>
      <c r="G2973" s="186">
        <v>6.4752374919999998</v>
      </c>
    </row>
    <row r="2974" spans="1:7" ht="14.4">
      <c r="A2974" s="186">
        <v>2973</v>
      </c>
      <c r="B2974" s="186" t="s">
        <v>1228</v>
      </c>
      <c r="C2974" s="186" t="s">
        <v>3313</v>
      </c>
      <c r="D2974" s="187">
        <v>22383</v>
      </c>
      <c r="E2974" s="186">
        <v>10.039999999999999</v>
      </c>
      <c r="F2974" s="186">
        <v>9.7899999999999991</v>
      </c>
      <c r="G2974" s="186">
        <v>6.4752374919999998</v>
      </c>
    </row>
    <row r="2975" spans="1:7" ht="14.4">
      <c r="A2975" s="186">
        <v>2974</v>
      </c>
      <c r="B2975" s="186" t="s">
        <v>451</v>
      </c>
      <c r="C2975" s="186" t="s">
        <v>3314</v>
      </c>
      <c r="D2975" s="186">
        <v>405.5</v>
      </c>
      <c r="E2975" s="186">
        <v>9.9600000000000009</v>
      </c>
      <c r="F2975" s="186">
        <v>9.7899999999999991</v>
      </c>
      <c r="G2975" s="186">
        <v>6.4752374919999998</v>
      </c>
    </row>
    <row r="2976" spans="1:7" ht="14.4">
      <c r="A2976" s="186">
        <v>2975</v>
      </c>
      <c r="B2976" s="186" t="s">
        <v>658</v>
      </c>
      <c r="C2976" s="186" t="s">
        <v>3315</v>
      </c>
      <c r="D2976" s="186">
        <v>119</v>
      </c>
      <c r="E2976" s="186">
        <v>10.06</v>
      </c>
      <c r="F2976" s="186">
        <v>9.8000000000000007</v>
      </c>
      <c r="G2976" s="186">
        <v>6.4870433820000004</v>
      </c>
    </row>
    <row r="2977" spans="1:7" ht="14.4">
      <c r="A2977" s="186">
        <v>2976</v>
      </c>
      <c r="B2977" s="186" t="s">
        <v>553</v>
      </c>
      <c r="C2977" s="186" t="s">
        <v>3316</v>
      </c>
      <c r="D2977" s="186">
        <v>516.5</v>
      </c>
      <c r="E2977" s="186">
        <v>10.11</v>
      </c>
      <c r="F2977" s="186">
        <v>9.8000000000000007</v>
      </c>
      <c r="G2977" s="186">
        <v>6.4870433820000004</v>
      </c>
    </row>
    <row r="2978" spans="1:7" ht="14.4">
      <c r="A2978" s="186">
        <v>2977</v>
      </c>
      <c r="B2978" s="186" t="s">
        <v>252</v>
      </c>
      <c r="C2978" s="186" t="s">
        <v>3317</v>
      </c>
      <c r="D2978" s="186">
        <v>153.69999999999999</v>
      </c>
      <c r="E2978" s="186">
        <v>9.9</v>
      </c>
      <c r="F2978" s="186">
        <v>9.81</v>
      </c>
      <c r="G2978" s="186">
        <v>6.498869719</v>
      </c>
    </row>
    <row r="2979" spans="1:7" ht="14.4">
      <c r="A2979" s="186">
        <v>2978</v>
      </c>
      <c r="B2979" s="186" t="s">
        <v>1390</v>
      </c>
      <c r="C2979" s="186" t="s">
        <v>3318</v>
      </c>
      <c r="D2979" s="186">
        <v>88.2</v>
      </c>
      <c r="E2979" s="186">
        <v>9.82</v>
      </c>
      <c r="F2979" s="186">
        <v>9.81</v>
      </c>
      <c r="G2979" s="186">
        <v>6.498869719</v>
      </c>
    </row>
    <row r="2980" spans="1:7" ht="14.4">
      <c r="A2980" s="186">
        <v>2979</v>
      </c>
      <c r="B2980" s="186" t="s">
        <v>553</v>
      </c>
      <c r="C2980" s="186" t="s">
        <v>3319</v>
      </c>
      <c r="D2980" s="187">
        <v>6385.4</v>
      </c>
      <c r="E2980" s="186">
        <v>10.119999999999999</v>
      </c>
      <c r="F2980" s="186">
        <v>9.81</v>
      </c>
      <c r="G2980" s="186">
        <v>6.498869719</v>
      </c>
    </row>
    <row r="2981" spans="1:7" ht="14.4">
      <c r="A2981" s="186">
        <v>2980</v>
      </c>
      <c r="B2981" s="186" t="s">
        <v>553</v>
      </c>
      <c r="C2981" s="186" t="s">
        <v>3320</v>
      </c>
      <c r="D2981" s="186">
        <v>21.5</v>
      </c>
      <c r="E2981" s="186">
        <v>10.18</v>
      </c>
      <c r="F2981" s="186">
        <v>9.81</v>
      </c>
      <c r="G2981" s="186">
        <v>6.498869719</v>
      </c>
    </row>
    <row r="2982" spans="1:7" ht="14.4">
      <c r="A2982" s="186">
        <v>2981</v>
      </c>
      <c r="B2982" s="186" t="s">
        <v>3135</v>
      </c>
      <c r="C2982" s="186" t="s">
        <v>3321</v>
      </c>
      <c r="D2982" s="186">
        <v>565.6</v>
      </c>
      <c r="E2982" s="186">
        <v>9.68</v>
      </c>
      <c r="F2982" s="186">
        <v>9.81</v>
      </c>
      <c r="G2982" s="186">
        <v>6.498869719</v>
      </c>
    </row>
    <row r="2983" spans="1:7" ht="14.4">
      <c r="A2983" s="186">
        <v>2982</v>
      </c>
      <c r="B2983" s="186" t="s">
        <v>483</v>
      </c>
      <c r="C2983" s="186" t="s">
        <v>3322</v>
      </c>
      <c r="D2983" s="187">
        <v>5909.2</v>
      </c>
      <c r="E2983" s="186">
        <v>10.119999999999999</v>
      </c>
      <c r="F2983" s="186">
        <v>9.82</v>
      </c>
      <c r="G2983" s="186">
        <v>6.5107165370000004</v>
      </c>
    </row>
    <row r="2984" spans="1:7" ht="14.4">
      <c r="A2984" s="186">
        <v>2983</v>
      </c>
      <c r="B2984" s="186" t="s">
        <v>263</v>
      </c>
      <c r="C2984" s="186" t="s">
        <v>3323</v>
      </c>
      <c r="D2984" s="186">
        <v>231.6</v>
      </c>
      <c r="E2984" s="186">
        <v>9.59</v>
      </c>
      <c r="F2984" s="186">
        <v>9.82</v>
      </c>
      <c r="G2984" s="186">
        <v>6.5107165370000004</v>
      </c>
    </row>
    <row r="2985" spans="1:7" ht="14.4">
      <c r="A2985" s="186">
        <v>2984</v>
      </c>
      <c r="B2985" s="186" t="s">
        <v>553</v>
      </c>
      <c r="C2985" s="186" t="s">
        <v>3324</v>
      </c>
      <c r="D2985" s="187">
        <v>1540.8</v>
      </c>
      <c r="E2985" s="186">
        <v>10.02</v>
      </c>
      <c r="F2985" s="186">
        <v>9.82</v>
      </c>
      <c r="G2985" s="186">
        <v>6.5107165370000004</v>
      </c>
    </row>
    <row r="2986" spans="1:7" ht="14.4">
      <c r="A2986" s="186">
        <v>2985</v>
      </c>
      <c r="B2986" s="186" t="s">
        <v>1168</v>
      </c>
      <c r="C2986" s="186" t="s">
        <v>3325</v>
      </c>
      <c r="D2986" s="186">
        <v>114.6</v>
      </c>
      <c r="E2986" s="186">
        <v>9.94</v>
      </c>
      <c r="F2986" s="186">
        <v>9.83</v>
      </c>
      <c r="G2986" s="186">
        <v>6.5225838679999999</v>
      </c>
    </row>
    <row r="2987" spans="1:7" ht="14.4">
      <c r="A2987" s="186">
        <v>2986</v>
      </c>
      <c r="B2987" s="186" t="s">
        <v>153</v>
      </c>
      <c r="C2987" s="186" t="s">
        <v>3326</v>
      </c>
      <c r="D2987" s="187">
        <v>22365.8</v>
      </c>
      <c r="E2987" s="186">
        <v>10.07</v>
      </c>
      <c r="F2987" s="186">
        <v>9.84</v>
      </c>
      <c r="G2987" s="186">
        <v>6.5344717470000004</v>
      </c>
    </row>
    <row r="2988" spans="1:7" ht="14.4">
      <c r="A2988" s="186">
        <v>2987</v>
      </c>
      <c r="B2988" s="186" t="s">
        <v>553</v>
      </c>
      <c r="C2988" s="186" t="s">
        <v>3327</v>
      </c>
      <c r="D2988" s="186">
        <v>261.89999999999998</v>
      </c>
      <c r="E2988" s="186">
        <v>10.039999999999999</v>
      </c>
      <c r="F2988" s="186">
        <v>9.84</v>
      </c>
      <c r="G2988" s="186">
        <v>6.5344717470000004</v>
      </c>
    </row>
    <row r="2989" spans="1:7" ht="14.4">
      <c r="A2989" s="186">
        <v>2988</v>
      </c>
      <c r="B2989" s="186" t="s">
        <v>1195</v>
      </c>
      <c r="C2989" s="186" t="s">
        <v>3328</v>
      </c>
      <c r="D2989" s="186">
        <v>723.7</v>
      </c>
      <c r="E2989" s="186">
        <v>9.92</v>
      </c>
      <c r="F2989" s="186">
        <v>9.84</v>
      </c>
      <c r="G2989" s="186">
        <v>6.5344717470000004</v>
      </c>
    </row>
    <row r="2990" spans="1:7" ht="14.4">
      <c r="A2990" s="186">
        <v>2989</v>
      </c>
      <c r="B2990" s="186" t="s">
        <v>440</v>
      </c>
      <c r="C2990" s="186" t="s">
        <v>3329</v>
      </c>
      <c r="D2990" s="186">
        <v>334.5</v>
      </c>
      <c r="E2990" s="186">
        <v>10.210000000000001</v>
      </c>
      <c r="F2990" s="186">
        <v>9.84</v>
      </c>
      <c r="G2990" s="186">
        <v>6.5344717470000004</v>
      </c>
    </row>
    <row r="2991" spans="1:7" ht="14.4">
      <c r="A2991" s="186">
        <v>2990</v>
      </c>
      <c r="B2991" s="186" t="s">
        <v>1168</v>
      </c>
      <c r="C2991" s="186" t="s">
        <v>3330</v>
      </c>
      <c r="D2991" s="186">
        <v>72.599999999999994</v>
      </c>
      <c r="E2991" s="186">
        <v>10.130000000000001</v>
      </c>
      <c r="F2991" s="186">
        <v>9.85</v>
      </c>
      <c r="G2991" s="186">
        <v>6.5463802080000004</v>
      </c>
    </row>
    <row r="2992" spans="1:7" ht="14.4">
      <c r="A2992" s="186">
        <v>2991</v>
      </c>
      <c r="B2992" s="186" t="s">
        <v>178</v>
      </c>
      <c r="C2992" s="186" t="s">
        <v>3331</v>
      </c>
      <c r="D2992" s="186">
        <v>129.1</v>
      </c>
      <c r="E2992" s="186">
        <v>10.39</v>
      </c>
      <c r="F2992" s="186">
        <v>9.85</v>
      </c>
      <c r="G2992" s="186">
        <v>6.5463802080000004</v>
      </c>
    </row>
    <row r="2993" spans="1:7" ht="14.4">
      <c r="A2993" s="186">
        <v>2992</v>
      </c>
      <c r="B2993" s="186" t="s">
        <v>122</v>
      </c>
      <c r="C2993" s="186" t="s">
        <v>3332</v>
      </c>
      <c r="D2993" s="186">
        <v>425.9</v>
      </c>
      <c r="E2993" s="186">
        <v>10.43</v>
      </c>
      <c r="F2993" s="186">
        <v>9.85</v>
      </c>
      <c r="G2993" s="186">
        <v>6.5463802080000004</v>
      </c>
    </row>
    <row r="2994" spans="1:7" ht="14.4">
      <c r="A2994" s="186">
        <v>2993</v>
      </c>
      <c r="B2994" s="186" t="s">
        <v>158</v>
      </c>
      <c r="C2994" s="186" t="s">
        <v>3333</v>
      </c>
      <c r="D2994" s="186">
        <v>180</v>
      </c>
      <c r="E2994" s="186">
        <v>10.199999999999999</v>
      </c>
      <c r="F2994" s="186">
        <v>9.85</v>
      </c>
      <c r="G2994" s="186">
        <v>6.5463802080000004</v>
      </c>
    </row>
    <row r="2995" spans="1:7" ht="14.4">
      <c r="A2995" s="186">
        <v>2994</v>
      </c>
      <c r="B2995" s="186" t="s">
        <v>553</v>
      </c>
      <c r="C2995" s="186" t="s">
        <v>3334</v>
      </c>
      <c r="D2995" s="186">
        <v>450.7</v>
      </c>
      <c r="E2995" s="186">
        <v>10.17</v>
      </c>
      <c r="F2995" s="186">
        <v>9.85</v>
      </c>
      <c r="G2995" s="186">
        <v>6.5463802080000004</v>
      </c>
    </row>
    <row r="2996" spans="1:7" ht="14.4">
      <c r="A2996" s="186">
        <v>2995</v>
      </c>
      <c r="B2996" s="186" t="s">
        <v>553</v>
      </c>
      <c r="C2996" s="186" t="s">
        <v>3335</v>
      </c>
      <c r="D2996" s="186">
        <v>153</v>
      </c>
      <c r="E2996" s="186">
        <v>10.050000000000001</v>
      </c>
      <c r="F2996" s="186">
        <v>9.85</v>
      </c>
      <c r="G2996" s="186">
        <v>6.5463802080000004</v>
      </c>
    </row>
    <row r="2997" spans="1:7" ht="14.4">
      <c r="A2997" s="186">
        <v>2996</v>
      </c>
      <c r="B2997" s="186" t="s">
        <v>1290</v>
      </c>
      <c r="C2997" s="186" t="s">
        <v>3336</v>
      </c>
      <c r="D2997" s="186">
        <v>3.9</v>
      </c>
      <c r="E2997" s="186">
        <v>10.09</v>
      </c>
      <c r="F2997" s="186">
        <v>9.85</v>
      </c>
      <c r="G2997" s="186">
        <v>6.5463802080000004</v>
      </c>
    </row>
    <row r="2998" spans="1:7" ht="14.4">
      <c r="A2998" s="186">
        <v>2997</v>
      </c>
      <c r="B2998" s="186" t="s">
        <v>1228</v>
      </c>
      <c r="C2998" s="186" t="s">
        <v>3337</v>
      </c>
      <c r="D2998" s="187">
        <v>3689.7</v>
      </c>
      <c r="E2998" s="186">
        <v>10.130000000000001</v>
      </c>
      <c r="F2998" s="186">
        <v>9.8699999999999992</v>
      </c>
      <c r="G2998" s="186">
        <v>6.5702590079999998</v>
      </c>
    </row>
    <row r="2999" spans="1:7" ht="14.4">
      <c r="A2999" s="186">
        <v>2998</v>
      </c>
      <c r="B2999" s="186" t="s">
        <v>373</v>
      </c>
      <c r="C2999" s="186" t="s">
        <v>3338</v>
      </c>
      <c r="D2999" s="187">
        <v>9651.7000000000007</v>
      </c>
      <c r="E2999" s="186">
        <v>10.19</v>
      </c>
      <c r="F2999" s="186">
        <v>9.8699999999999992</v>
      </c>
      <c r="G2999" s="186">
        <v>6.5702590079999998</v>
      </c>
    </row>
    <row r="3000" spans="1:7" ht="14.4">
      <c r="A3000" s="186">
        <v>2999</v>
      </c>
      <c r="B3000" s="186" t="s">
        <v>187</v>
      </c>
      <c r="C3000" s="186" t="s">
        <v>3339</v>
      </c>
      <c r="D3000" s="186">
        <v>811</v>
      </c>
      <c r="E3000" s="186">
        <v>10.06</v>
      </c>
      <c r="F3000" s="186">
        <v>9.8699999999999992</v>
      </c>
      <c r="G3000" s="186">
        <v>6.5702590079999998</v>
      </c>
    </row>
    <row r="3001" spans="1:7" ht="14.4">
      <c r="A3001" s="186">
        <v>3000</v>
      </c>
      <c r="B3001" s="186" t="s">
        <v>565</v>
      </c>
      <c r="C3001" s="186" t="s">
        <v>3340</v>
      </c>
      <c r="D3001" s="186">
        <v>332.4</v>
      </c>
      <c r="E3001" s="186">
        <v>9.99</v>
      </c>
      <c r="F3001" s="186">
        <v>9.8699999999999992</v>
      </c>
      <c r="G3001" s="186">
        <v>6.5702590079999998</v>
      </c>
    </row>
    <row r="3002" spans="1:7" ht="14.4">
      <c r="A3002" s="186">
        <v>3001</v>
      </c>
      <c r="B3002" s="186" t="s">
        <v>234</v>
      </c>
      <c r="C3002" s="186" t="s">
        <v>3341</v>
      </c>
      <c r="D3002" s="187">
        <v>2427.6</v>
      </c>
      <c r="E3002" s="186">
        <v>10.46</v>
      </c>
      <c r="F3002" s="186">
        <v>9.8800000000000008</v>
      </c>
      <c r="G3002" s="186">
        <v>6.5822294149999996</v>
      </c>
    </row>
    <row r="3003" spans="1:7" ht="14.4">
      <c r="A3003" s="186">
        <v>3002</v>
      </c>
      <c r="B3003" s="186" t="s">
        <v>451</v>
      </c>
      <c r="C3003" s="186" t="s">
        <v>3342</v>
      </c>
      <c r="D3003" s="186">
        <v>226.5</v>
      </c>
      <c r="E3003" s="186">
        <v>10.24</v>
      </c>
      <c r="F3003" s="186">
        <v>9.8800000000000008</v>
      </c>
      <c r="G3003" s="186">
        <v>6.5822294149999996</v>
      </c>
    </row>
    <row r="3004" spans="1:7" ht="14.4">
      <c r="A3004" s="186">
        <v>3003</v>
      </c>
      <c r="B3004" s="186" t="s">
        <v>2545</v>
      </c>
      <c r="C3004" s="186" t="s">
        <v>3343</v>
      </c>
      <c r="D3004" s="187">
        <v>1091.9000000000001</v>
      </c>
      <c r="E3004" s="186">
        <v>10.26</v>
      </c>
      <c r="F3004" s="186">
        <v>9.89</v>
      </c>
      <c r="G3004" s="186">
        <v>6.5942205380000001</v>
      </c>
    </row>
    <row r="3005" spans="1:7" ht="14.4">
      <c r="A3005" s="186">
        <v>3004</v>
      </c>
      <c r="B3005" s="186" t="s">
        <v>286</v>
      </c>
      <c r="C3005" s="186" t="s">
        <v>3344</v>
      </c>
      <c r="D3005" s="186">
        <v>506.4</v>
      </c>
      <c r="E3005" s="186">
        <v>10.24</v>
      </c>
      <c r="F3005" s="186">
        <v>9.89</v>
      </c>
      <c r="G3005" s="186">
        <v>6.5942205380000001</v>
      </c>
    </row>
    <row r="3006" spans="1:7" ht="14.4">
      <c r="A3006" s="186">
        <v>3005</v>
      </c>
      <c r="B3006" s="186" t="s">
        <v>365</v>
      </c>
      <c r="C3006" s="186" t="s">
        <v>3345</v>
      </c>
      <c r="D3006" s="186">
        <v>991.8</v>
      </c>
      <c r="E3006" s="186">
        <v>10.11</v>
      </c>
      <c r="F3006" s="186">
        <v>9.89</v>
      </c>
      <c r="G3006" s="186">
        <v>6.5942205380000001</v>
      </c>
    </row>
    <row r="3007" spans="1:7" ht="14.4">
      <c r="A3007" s="186">
        <v>3006</v>
      </c>
      <c r="B3007" s="186" t="s">
        <v>2307</v>
      </c>
      <c r="C3007" s="186" t="s">
        <v>3346</v>
      </c>
      <c r="D3007" s="186">
        <v>218.3</v>
      </c>
      <c r="E3007" s="186">
        <v>10.130000000000001</v>
      </c>
      <c r="F3007" s="186">
        <v>9.89</v>
      </c>
      <c r="G3007" s="186">
        <v>6.5942205380000001</v>
      </c>
    </row>
    <row r="3008" spans="1:7" ht="14.4">
      <c r="A3008" s="186">
        <v>3007</v>
      </c>
      <c r="B3008" s="186" t="s">
        <v>422</v>
      </c>
      <c r="C3008" s="186" t="s">
        <v>3347</v>
      </c>
      <c r="D3008" s="186">
        <v>656.1</v>
      </c>
      <c r="E3008" s="186">
        <v>10.36</v>
      </c>
      <c r="F3008" s="186">
        <v>9.9</v>
      </c>
      <c r="G3008" s="186">
        <v>6.6062324129999999</v>
      </c>
    </row>
    <row r="3009" spans="1:7" ht="14.4">
      <c r="A3009" s="186">
        <v>3008</v>
      </c>
      <c r="B3009" s="186" t="s">
        <v>175</v>
      </c>
      <c r="C3009" s="186" t="s">
        <v>3348</v>
      </c>
      <c r="D3009" s="186">
        <v>63.6</v>
      </c>
      <c r="E3009" s="186">
        <v>10.01</v>
      </c>
      <c r="F3009" s="186">
        <v>9.9</v>
      </c>
      <c r="G3009" s="186">
        <v>6.6062324129999999</v>
      </c>
    </row>
    <row r="3010" spans="1:7" ht="14.4">
      <c r="A3010" s="186">
        <v>3009</v>
      </c>
      <c r="B3010" s="186" t="s">
        <v>263</v>
      </c>
      <c r="C3010" s="186" t="s">
        <v>3349</v>
      </c>
      <c r="D3010" s="186">
        <v>21.6</v>
      </c>
      <c r="E3010" s="186">
        <v>10</v>
      </c>
      <c r="F3010" s="186">
        <v>9.9</v>
      </c>
      <c r="G3010" s="186">
        <v>6.6062324129999999</v>
      </c>
    </row>
    <row r="3011" spans="1:7" ht="14.4">
      <c r="A3011" s="186">
        <v>3010</v>
      </c>
      <c r="B3011" s="186" t="s">
        <v>553</v>
      </c>
      <c r="C3011" s="186" t="s">
        <v>3350</v>
      </c>
      <c r="D3011" s="187">
        <v>2430.3000000000002</v>
      </c>
      <c r="E3011" s="186">
        <v>10.210000000000001</v>
      </c>
      <c r="F3011" s="186">
        <v>9.9</v>
      </c>
      <c r="G3011" s="186">
        <v>6.6062324129999999</v>
      </c>
    </row>
    <row r="3012" spans="1:7" ht="14.4">
      <c r="A3012" s="186">
        <v>3011</v>
      </c>
      <c r="B3012" s="186" t="s">
        <v>422</v>
      </c>
      <c r="C3012" s="186" t="s">
        <v>3351</v>
      </c>
      <c r="D3012" s="186">
        <v>20.399999999999999</v>
      </c>
      <c r="E3012" s="186">
        <v>10.37</v>
      </c>
      <c r="F3012" s="186">
        <v>9.91</v>
      </c>
      <c r="G3012" s="186">
        <v>6.6182650719999998</v>
      </c>
    </row>
    <row r="3013" spans="1:7" ht="14.4">
      <c r="A3013" s="186">
        <v>3012</v>
      </c>
      <c r="B3013" s="186" t="s">
        <v>153</v>
      </c>
      <c r="C3013" s="186" t="s">
        <v>3352</v>
      </c>
      <c r="D3013" s="187">
        <v>15581.2</v>
      </c>
      <c r="E3013" s="186">
        <v>10.14</v>
      </c>
      <c r="F3013" s="186">
        <v>9.91</v>
      </c>
      <c r="G3013" s="186">
        <v>6.6182650719999998</v>
      </c>
    </row>
    <row r="3014" spans="1:7" ht="14.4">
      <c r="A3014" s="186">
        <v>3013</v>
      </c>
      <c r="B3014" s="186" t="s">
        <v>122</v>
      </c>
      <c r="C3014" s="186" t="s">
        <v>3353</v>
      </c>
      <c r="D3014" s="186">
        <v>813</v>
      </c>
      <c r="E3014" s="186">
        <v>10.32</v>
      </c>
      <c r="F3014" s="186">
        <v>9.91</v>
      </c>
      <c r="G3014" s="186">
        <v>6.6182650719999998</v>
      </c>
    </row>
    <row r="3015" spans="1:7" ht="14.4">
      <c r="A3015" s="186">
        <v>3014</v>
      </c>
      <c r="B3015" s="186" t="s">
        <v>340</v>
      </c>
      <c r="C3015" s="186" t="s">
        <v>3354</v>
      </c>
      <c r="D3015" s="186">
        <v>206.5</v>
      </c>
      <c r="E3015" s="186">
        <v>10.11</v>
      </c>
      <c r="F3015" s="186">
        <v>9.91</v>
      </c>
      <c r="G3015" s="186">
        <v>6.6182650719999998</v>
      </c>
    </row>
    <row r="3016" spans="1:7" ht="14.4">
      <c r="A3016" s="186">
        <v>3015</v>
      </c>
      <c r="B3016" s="186" t="s">
        <v>1168</v>
      </c>
      <c r="C3016" s="186" t="s">
        <v>3355</v>
      </c>
      <c r="D3016" s="187">
        <v>1178.7</v>
      </c>
      <c r="E3016" s="186">
        <v>10.199999999999999</v>
      </c>
      <c r="F3016" s="186">
        <v>9.92</v>
      </c>
      <c r="G3016" s="186">
        <v>6.6303185490000001</v>
      </c>
    </row>
    <row r="3017" spans="1:7" ht="14.4">
      <c r="A3017" s="186">
        <v>3016</v>
      </c>
      <c r="B3017" s="186" t="s">
        <v>553</v>
      </c>
      <c r="C3017" s="186" t="s">
        <v>3356</v>
      </c>
      <c r="D3017" s="186">
        <v>219</v>
      </c>
      <c r="E3017" s="186">
        <v>9.9</v>
      </c>
      <c r="F3017" s="186">
        <v>9.92</v>
      </c>
      <c r="G3017" s="186">
        <v>6.6303185490000001</v>
      </c>
    </row>
    <row r="3018" spans="1:7" ht="14.4">
      <c r="A3018" s="186">
        <v>3017</v>
      </c>
      <c r="B3018" s="186" t="s">
        <v>1168</v>
      </c>
      <c r="C3018" s="186" t="s">
        <v>3357</v>
      </c>
      <c r="D3018" s="186">
        <v>459.8</v>
      </c>
      <c r="E3018" s="186">
        <v>10.210000000000001</v>
      </c>
      <c r="F3018" s="186">
        <v>9.93</v>
      </c>
      <c r="G3018" s="186">
        <v>6.6423928800000001</v>
      </c>
    </row>
    <row r="3019" spans="1:7" ht="14.4">
      <c r="A3019" s="186">
        <v>3018</v>
      </c>
      <c r="B3019" s="186" t="s">
        <v>271</v>
      </c>
      <c r="C3019" s="186" t="s">
        <v>3358</v>
      </c>
      <c r="D3019" s="186">
        <v>236</v>
      </c>
      <c r="E3019" s="186">
        <v>9.77</v>
      </c>
      <c r="F3019" s="186">
        <v>9.93</v>
      </c>
      <c r="G3019" s="186">
        <v>6.6423928800000001</v>
      </c>
    </row>
    <row r="3020" spans="1:7" ht="14.4">
      <c r="A3020" s="186">
        <v>3019</v>
      </c>
      <c r="B3020" s="186" t="s">
        <v>2312</v>
      </c>
      <c r="C3020" s="186" t="s">
        <v>3359</v>
      </c>
      <c r="D3020" s="187">
        <v>4580.3999999999996</v>
      </c>
      <c r="E3020" s="186">
        <v>10</v>
      </c>
      <c r="F3020" s="186">
        <v>9.93</v>
      </c>
      <c r="G3020" s="186">
        <v>6.6423928800000001</v>
      </c>
    </row>
    <row r="3021" spans="1:7" ht="14.4">
      <c r="A3021" s="186">
        <v>3020</v>
      </c>
      <c r="B3021" s="186" t="s">
        <v>146</v>
      </c>
      <c r="C3021" s="186" t="s">
        <v>3360</v>
      </c>
      <c r="D3021" s="186">
        <v>122.9</v>
      </c>
      <c r="E3021" s="186">
        <v>10.34</v>
      </c>
      <c r="F3021" s="186">
        <v>9.93</v>
      </c>
      <c r="G3021" s="186">
        <v>6.6423928800000001</v>
      </c>
    </row>
    <row r="3022" spans="1:7" ht="14.4">
      <c r="A3022" s="186">
        <v>3021</v>
      </c>
      <c r="B3022" s="186" t="s">
        <v>553</v>
      </c>
      <c r="C3022" s="186" t="s">
        <v>3361</v>
      </c>
      <c r="D3022" s="186">
        <v>176.9</v>
      </c>
      <c r="E3022" s="186">
        <v>10.24</v>
      </c>
      <c r="F3022" s="186">
        <v>9.93</v>
      </c>
      <c r="G3022" s="186">
        <v>6.6423928800000001</v>
      </c>
    </row>
    <row r="3023" spans="1:7" ht="14.4">
      <c r="A3023" s="186">
        <v>3022</v>
      </c>
      <c r="B3023" s="186" t="s">
        <v>280</v>
      </c>
      <c r="C3023" s="186" t="s">
        <v>3362</v>
      </c>
      <c r="D3023" s="186">
        <v>394.7</v>
      </c>
      <c r="E3023" s="186">
        <v>10.07</v>
      </c>
      <c r="F3023" s="186">
        <v>9.93</v>
      </c>
      <c r="G3023" s="186">
        <v>6.6423928800000001</v>
      </c>
    </row>
    <row r="3024" spans="1:7" ht="14.4">
      <c r="A3024" s="186">
        <v>3023</v>
      </c>
      <c r="B3024" s="186" t="s">
        <v>2545</v>
      </c>
      <c r="C3024" s="186" t="s">
        <v>3363</v>
      </c>
      <c r="D3024" s="186">
        <v>465.3</v>
      </c>
      <c r="E3024" s="186">
        <v>10.31</v>
      </c>
      <c r="F3024" s="186">
        <v>9.94</v>
      </c>
      <c r="G3024" s="186">
        <v>6.6544880969999998</v>
      </c>
    </row>
    <row r="3025" spans="1:7" ht="14.4">
      <c r="A3025" s="186">
        <v>3024</v>
      </c>
      <c r="B3025" s="186" t="s">
        <v>286</v>
      </c>
      <c r="C3025" s="186" t="s">
        <v>3364</v>
      </c>
      <c r="D3025" s="187">
        <v>2735.4</v>
      </c>
      <c r="E3025" s="186">
        <v>10.41</v>
      </c>
      <c r="F3025" s="186">
        <v>9.94</v>
      </c>
      <c r="G3025" s="186">
        <v>6.6544880969999998</v>
      </c>
    </row>
    <row r="3026" spans="1:7" ht="14.4">
      <c r="A3026" s="186">
        <v>3025</v>
      </c>
      <c r="B3026" s="186" t="s">
        <v>352</v>
      </c>
      <c r="C3026" s="186" t="s">
        <v>3365</v>
      </c>
      <c r="D3026" s="186">
        <v>65.8</v>
      </c>
      <c r="E3026" s="186">
        <v>10.06</v>
      </c>
      <c r="F3026" s="186">
        <v>9.94</v>
      </c>
      <c r="G3026" s="186">
        <v>6.6544880969999998</v>
      </c>
    </row>
    <row r="3027" spans="1:7" ht="14.4">
      <c r="A3027" s="186">
        <v>3026</v>
      </c>
      <c r="B3027" s="186" t="s">
        <v>547</v>
      </c>
      <c r="C3027" s="186" t="s">
        <v>3366</v>
      </c>
      <c r="D3027" s="186">
        <v>377.3</v>
      </c>
      <c r="E3027" s="186">
        <v>9.66</v>
      </c>
      <c r="F3027" s="186">
        <v>9.94</v>
      </c>
      <c r="G3027" s="186">
        <v>6.6544880969999998</v>
      </c>
    </row>
    <row r="3028" spans="1:7" ht="14.4">
      <c r="A3028" s="186">
        <v>3027</v>
      </c>
      <c r="B3028" s="186" t="s">
        <v>2505</v>
      </c>
      <c r="C3028" s="186" t="s">
        <v>3367</v>
      </c>
      <c r="D3028" s="187">
        <v>2752.6</v>
      </c>
      <c r="E3028" s="186">
        <v>10.17</v>
      </c>
      <c r="F3028" s="186">
        <v>9.9499999999999993</v>
      </c>
      <c r="G3028" s="186">
        <v>6.6666042360000004</v>
      </c>
    </row>
    <row r="3029" spans="1:7" ht="14.4">
      <c r="A3029" s="186">
        <v>3028</v>
      </c>
      <c r="B3029" s="186" t="s">
        <v>1290</v>
      </c>
      <c r="C3029" s="186" t="s">
        <v>3368</v>
      </c>
      <c r="D3029" s="186">
        <v>27</v>
      </c>
      <c r="E3029" s="186">
        <v>10.199999999999999</v>
      </c>
      <c r="F3029" s="186">
        <v>9.9499999999999993</v>
      </c>
      <c r="G3029" s="186">
        <v>6.6666042360000004</v>
      </c>
    </row>
    <row r="3030" spans="1:7" ht="14.4">
      <c r="A3030" s="186">
        <v>3029</v>
      </c>
      <c r="B3030" s="186" t="s">
        <v>286</v>
      </c>
      <c r="C3030" s="186" t="s">
        <v>3369</v>
      </c>
      <c r="D3030" s="186">
        <v>507.6</v>
      </c>
      <c r="E3030" s="186">
        <v>10.119999999999999</v>
      </c>
      <c r="F3030" s="186">
        <v>9.9700000000000006</v>
      </c>
      <c r="G3030" s="186">
        <v>6.6908994140000004</v>
      </c>
    </row>
    <row r="3031" spans="1:7" ht="14.4">
      <c r="A3031" s="186">
        <v>3030</v>
      </c>
      <c r="B3031" s="186" t="s">
        <v>422</v>
      </c>
      <c r="C3031" s="186" t="s">
        <v>3370</v>
      </c>
      <c r="D3031" s="186">
        <v>156.6</v>
      </c>
      <c r="E3031" s="186">
        <v>10.43</v>
      </c>
      <c r="F3031" s="186">
        <v>9.9700000000000006</v>
      </c>
      <c r="G3031" s="186">
        <v>6.6908994140000004</v>
      </c>
    </row>
    <row r="3032" spans="1:7" ht="14.4">
      <c r="A3032" s="186">
        <v>3031</v>
      </c>
      <c r="B3032" s="186" t="s">
        <v>536</v>
      </c>
      <c r="C3032" s="186" t="s">
        <v>3371</v>
      </c>
      <c r="D3032" s="186">
        <v>73.900000000000006</v>
      </c>
      <c r="E3032" s="186">
        <v>10.24</v>
      </c>
      <c r="F3032" s="186">
        <v>9.9700000000000006</v>
      </c>
      <c r="G3032" s="186">
        <v>6.6908994140000004</v>
      </c>
    </row>
    <row r="3033" spans="1:7" ht="14.4">
      <c r="A3033" s="186">
        <v>3032</v>
      </c>
      <c r="B3033" s="186" t="s">
        <v>3372</v>
      </c>
      <c r="C3033" s="186" t="s">
        <v>3373</v>
      </c>
      <c r="D3033" s="186">
        <v>790.1</v>
      </c>
      <c r="E3033" s="186">
        <v>10.28</v>
      </c>
      <c r="F3033" s="186">
        <v>9.98</v>
      </c>
      <c r="G3033" s="186">
        <v>6.7030785220000002</v>
      </c>
    </row>
    <row r="3034" spans="1:7" ht="14.4">
      <c r="A3034" s="186">
        <v>3033</v>
      </c>
      <c r="B3034" s="186" t="s">
        <v>2374</v>
      </c>
      <c r="C3034" s="186" t="s">
        <v>3374</v>
      </c>
      <c r="D3034" s="187">
        <v>10421</v>
      </c>
      <c r="E3034" s="186">
        <v>10.11</v>
      </c>
      <c r="F3034" s="186">
        <v>9.98</v>
      </c>
      <c r="G3034" s="186">
        <v>6.7030785220000002</v>
      </c>
    </row>
    <row r="3035" spans="1:7" ht="14.4">
      <c r="A3035" s="186">
        <v>3034</v>
      </c>
      <c r="B3035" s="186" t="s">
        <v>571</v>
      </c>
      <c r="C3035" s="186" t="s">
        <v>3375</v>
      </c>
      <c r="D3035" s="186">
        <v>60.5</v>
      </c>
      <c r="E3035" s="186">
        <v>10.24</v>
      </c>
      <c r="F3035" s="186">
        <v>10.01</v>
      </c>
      <c r="G3035" s="186">
        <v>6.739742337</v>
      </c>
    </row>
    <row r="3036" spans="1:7" ht="14.4">
      <c r="A3036" s="186">
        <v>3035</v>
      </c>
      <c r="B3036" s="186" t="s">
        <v>1290</v>
      </c>
      <c r="C3036" s="186" t="s">
        <v>3376</v>
      </c>
      <c r="D3036" s="186">
        <v>952.6</v>
      </c>
      <c r="E3036" s="186">
        <v>9.9499999999999993</v>
      </c>
      <c r="F3036" s="186">
        <v>10.02</v>
      </c>
      <c r="G3036" s="186">
        <v>6.7520058870000002</v>
      </c>
    </row>
    <row r="3037" spans="1:7" ht="14.4">
      <c r="A3037" s="186">
        <v>3036</v>
      </c>
      <c r="B3037" s="186" t="s">
        <v>2815</v>
      </c>
      <c r="C3037" s="186" t="s">
        <v>3377</v>
      </c>
      <c r="D3037" s="186">
        <v>49.6</v>
      </c>
      <c r="E3037" s="186">
        <v>10.18</v>
      </c>
      <c r="F3037" s="186">
        <v>10.02</v>
      </c>
      <c r="G3037" s="186">
        <v>6.7520058870000002</v>
      </c>
    </row>
    <row r="3038" spans="1:7" ht="14.4">
      <c r="A3038" s="186">
        <v>3037</v>
      </c>
      <c r="B3038" s="186" t="s">
        <v>602</v>
      </c>
      <c r="C3038" s="186" t="s">
        <v>3378</v>
      </c>
      <c r="D3038" s="186">
        <v>716.9</v>
      </c>
      <c r="E3038" s="186">
        <v>10.33</v>
      </c>
      <c r="F3038" s="186">
        <v>10.029999999999999</v>
      </c>
      <c r="G3038" s="186">
        <v>6.764290634</v>
      </c>
    </row>
    <row r="3039" spans="1:7" ht="14.4">
      <c r="A3039" s="186">
        <v>3038</v>
      </c>
      <c r="B3039" s="186" t="s">
        <v>365</v>
      </c>
      <c r="C3039" s="186" t="s">
        <v>3379</v>
      </c>
      <c r="D3039" s="186">
        <v>140.9</v>
      </c>
      <c r="E3039" s="186">
        <v>10.23</v>
      </c>
      <c r="F3039" s="186">
        <v>10.029999999999999</v>
      </c>
      <c r="G3039" s="186">
        <v>6.764290634</v>
      </c>
    </row>
    <row r="3040" spans="1:7" ht="14.4">
      <c r="A3040" s="186">
        <v>3039</v>
      </c>
      <c r="B3040" s="186" t="s">
        <v>1290</v>
      </c>
      <c r="C3040" s="186" t="s">
        <v>3380</v>
      </c>
      <c r="D3040" s="186">
        <v>20.6</v>
      </c>
      <c r="E3040" s="186">
        <v>10.28</v>
      </c>
      <c r="F3040" s="186">
        <v>10.029999999999999</v>
      </c>
      <c r="G3040" s="186">
        <v>6.764290634</v>
      </c>
    </row>
    <row r="3041" spans="1:7" ht="14.4">
      <c r="A3041" s="186">
        <v>3040</v>
      </c>
      <c r="B3041" s="186" t="s">
        <v>483</v>
      </c>
      <c r="C3041" s="186" t="s">
        <v>3381</v>
      </c>
      <c r="D3041" s="187">
        <v>14309.1</v>
      </c>
      <c r="E3041" s="186">
        <v>10.33</v>
      </c>
      <c r="F3041" s="186">
        <v>10.050000000000001</v>
      </c>
      <c r="G3041" s="186">
        <v>6.7889238580000004</v>
      </c>
    </row>
    <row r="3042" spans="1:7" ht="14.4">
      <c r="A3042" s="186">
        <v>3041</v>
      </c>
      <c r="B3042" s="186" t="s">
        <v>1390</v>
      </c>
      <c r="C3042" s="186" t="s">
        <v>3382</v>
      </c>
      <c r="D3042" s="186">
        <v>678.9</v>
      </c>
      <c r="E3042" s="186">
        <v>10.37</v>
      </c>
      <c r="F3042" s="186">
        <v>10.050000000000001</v>
      </c>
      <c r="G3042" s="186">
        <v>6.7889238580000004</v>
      </c>
    </row>
    <row r="3043" spans="1:7" ht="14.4">
      <c r="A3043" s="186">
        <v>3042</v>
      </c>
      <c r="B3043" s="186" t="s">
        <v>2505</v>
      </c>
      <c r="C3043" s="186" t="s">
        <v>3383</v>
      </c>
      <c r="D3043" s="187">
        <v>3344.3</v>
      </c>
      <c r="E3043" s="186">
        <v>10.28</v>
      </c>
      <c r="F3043" s="186">
        <v>10.06</v>
      </c>
      <c r="G3043" s="186">
        <v>6.8012724039999997</v>
      </c>
    </row>
    <row r="3044" spans="1:7" ht="14.4">
      <c r="A3044" s="186">
        <v>3043</v>
      </c>
      <c r="B3044" s="186" t="s">
        <v>210</v>
      </c>
      <c r="C3044" s="186" t="s">
        <v>3384</v>
      </c>
      <c r="D3044" s="186">
        <v>796</v>
      </c>
      <c r="E3044" s="186">
        <v>10.28</v>
      </c>
      <c r="F3044" s="186">
        <v>10.06</v>
      </c>
      <c r="G3044" s="186">
        <v>6.8012724039999997</v>
      </c>
    </row>
    <row r="3045" spans="1:7" ht="14.4">
      <c r="A3045" s="186">
        <v>3044</v>
      </c>
      <c r="B3045" s="186" t="s">
        <v>297</v>
      </c>
      <c r="C3045" s="186" t="s">
        <v>3385</v>
      </c>
      <c r="D3045" s="186">
        <v>132.6</v>
      </c>
      <c r="E3045" s="186">
        <v>9.69</v>
      </c>
      <c r="F3045" s="186">
        <v>10.06</v>
      </c>
      <c r="G3045" s="186">
        <v>6.8012724039999997</v>
      </c>
    </row>
    <row r="3046" spans="1:7" ht="14.4">
      <c r="A3046" s="186">
        <v>3045</v>
      </c>
      <c r="B3046" s="186" t="s">
        <v>252</v>
      </c>
      <c r="C3046" s="186" t="s">
        <v>3386</v>
      </c>
      <c r="D3046" s="186">
        <v>6</v>
      </c>
      <c r="E3046" s="186">
        <v>10.25</v>
      </c>
      <c r="F3046" s="186">
        <v>10.07</v>
      </c>
      <c r="G3046" s="186">
        <v>6.8136422860000003</v>
      </c>
    </row>
    <row r="3047" spans="1:7" ht="14.4">
      <c r="A3047" s="186">
        <v>3046</v>
      </c>
      <c r="B3047" s="186" t="s">
        <v>187</v>
      </c>
      <c r="C3047" s="186" t="s">
        <v>3387</v>
      </c>
      <c r="D3047" s="186">
        <v>214.2</v>
      </c>
      <c r="E3047" s="186">
        <v>10.28</v>
      </c>
      <c r="F3047" s="186">
        <v>10.07</v>
      </c>
      <c r="G3047" s="186">
        <v>6.8136422860000003</v>
      </c>
    </row>
    <row r="3048" spans="1:7" ht="14.4">
      <c r="A3048" s="186">
        <v>3047</v>
      </c>
      <c r="B3048" s="186" t="s">
        <v>553</v>
      </c>
      <c r="C3048" s="186" t="s">
        <v>3388</v>
      </c>
      <c r="D3048" s="186">
        <v>854.4</v>
      </c>
      <c r="E3048" s="186">
        <v>10.39</v>
      </c>
      <c r="F3048" s="186">
        <v>10.08</v>
      </c>
      <c r="G3048" s="186">
        <v>6.826033539</v>
      </c>
    </row>
    <row r="3049" spans="1:7" ht="14.4">
      <c r="A3049" s="186">
        <v>3048</v>
      </c>
      <c r="B3049" s="186" t="s">
        <v>488</v>
      </c>
      <c r="C3049" s="186" t="s">
        <v>3389</v>
      </c>
      <c r="D3049" s="186">
        <v>211.7</v>
      </c>
      <c r="E3049" s="186">
        <v>10.43</v>
      </c>
      <c r="F3049" s="186">
        <v>10.08</v>
      </c>
      <c r="G3049" s="186">
        <v>6.826033539</v>
      </c>
    </row>
    <row r="3050" spans="1:7" ht="14.4">
      <c r="A3050" s="186">
        <v>3049</v>
      </c>
      <c r="B3050" s="186" t="s">
        <v>335</v>
      </c>
      <c r="C3050" s="186" t="s">
        <v>3390</v>
      </c>
      <c r="D3050" s="186">
        <v>20.100000000000001</v>
      </c>
      <c r="E3050" s="186">
        <v>9.9700000000000006</v>
      </c>
      <c r="F3050" s="186">
        <v>10.08</v>
      </c>
      <c r="G3050" s="186">
        <v>6.826033539</v>
      </c>
    </row>
    <row r="3051" spans="1:7" ht="14.4">
      <c r="A3051" s="186">
        <v>3050</v>
      </c>
      <c r="B3051" s="186" t="s">
        <v>1290</v>
      </c>
      <c r="C3051" s="186" t="s">
        <v>3391</v>
      </c>
      <c r="D3051" s="186">
        <v>45.6</v>
      </c>
      <c r="E3051" s="186">
        <v>10.33</v>
      </c>
      <c r="F3051" s="186">
        <v>10.08</v>
      </c>
      <c r="G3051" s="186">
        <v>6.826033539</v>
      </c>
    </row>
    <row r="3052" spans="1:7" ht="14.4">
      <c r="A3052" s="186">
        <v>3051</v>
      </c>
      <c r="B3052" s="186" t="s">
        <v>547</v>
      </c>
      <c r="C3052" s="186" t="s">
        <v>3392</v>
      </c>
      <c r="D3052" s="186">
        <v>563.5</v>
      </c>
      <c r="E3052" s="186">
        <v>10.15</v>
      </c>
      <c r="F3052" s="186">
        <v>10.08</v>
      </c>
      <c r="G3052" s="186">
        <v>6.826033539</v>
      </c>
    </row>
    <row r="3053" spans="1:7" ht="14.4">
      <c r="A3053" s="186">
        <v>3052</v>
      </c>
      <c r="B3053" s="186" t="s">
        <v>3393</v>
      </c>
      <c r="C3053" s="186" t="s">
        <v>3394</v>
      </c>
      <c r="D3053" s="186">
        <v>413.4</v>
      </c>
      <c r="E3053" s="186">
        <v>10.52</v>
      </c>
      <c r="F3053" s="186">
        <v>10.09</v>
      </c>
      <c r="G3053" s="186">
        <v>6.8384461989999998</v>
      </c>
    </row>
    <row r="3054" spans="1:7" ht="14.4">
      <c r="A3054" s="186">
        <v>3053</v>
      </c>
      <c r="B3054" s="186" t="s">
        <v>1605</v>
      </c>
      <c r="C3054" s="186" t="s">
        <v>3395</v>
      </c>
      <c r="D3054" s="186">
        <v>173.6</v>
      </c>
      <c r="E3054" s="186">
        <v>10.35</v>
      </c>
      <c r="F3054" s="186">
        <v>10.09</v>
      </c>
      <c r="G3054" s="186">
        <v>6.8384461989999998</v>
      </c>
    </row>
    <row r="3055" spans="1:7" ht="14.4">
      <c r="A3055" s="186">
        <v>3054</v>
      </c>
      <c r="B3055" s="186" t="s">
        <v>2818</v>
      </c>
      <c r="C3055" s="186" t="s">
        <v>3396</v>
      </c>
      <c r="D3055" s="186">
        <v>190</v>
      </c>
      <c r="E3055" s="186">
        <v>9.82</v>
      </c>
      <c r="F3055" s="186">
        <v>10.09</v>
      </c>
      <c r="G3055" s="186">
        <v>6.8384461989999998</v>
      </c>
    </row>
    <row r="3056" spans="1:7" ht="14.4">
      <c r="A3056" s="186">
        <v>3055</v>
      </c>
      <c r="B3056" s="186" t="s">
        <v>184</v>
      </c>
      <c r="C3056" s="186" t="s">
        <v>3397</v>
      </c>
      <c r="D3056" s="187">
        <v>7943.4</v>
      </c>
      <c r="E3056" s="186">
        <v>10.66</v>
      </c>
      <c r="F3056" s="186">
        <v>10.09</v>
      </c>
      <c r="G3056" s="186">
        <v>6.8384461989999998</v>
      </c>
    </row>
    <row r="3057" spans="1:7" ht="14.4">
      <c r="A3057" s="186">
        <v>3056</v>
      </c>
      <c r="B3057" s="186" t="s">
        <v>3061</v>
      </c>
      <c r="C3057" s="186" t="s">
        <v>3398</v>
      </c>
      <c r="D3057" s="187">
        <v>1179.8</v>
      </c>
      <c r="E3057" s="186">
        <v>10.36</v>
      </c>
      <c r="F3057" s="186">
        <v>10.09</v>
      </c>
      <c r="G3057" s="186">
        <v>6.8384461989999998</v>
      </c>
    </row>
    <row r="3058" spans="1:7" ht="14.4">
      <c r="A3058" s="186">
        <v>3057</v>
      </c>
      <c r="B3058" s="186" t="s">
        <v>252</v>
      </c>
      <c r="C3058" s="186" t="s">
        <v>3399</v>
      </c>
      <c r="D3058" s="186">
        <v>205.4</v>
      </c>
      <c r="E3058" s="186">
        <v>10.27</v>
      </c>
      <c r="F3058" s="186">
        <v>10.1</v>
      </c>
      <c r="G3058" s="186">
        <v>6.850880299</v>
      </c>
    </row>
    <row r="3059" spans="1:7" ht="14.4">
      <c r="A3059" s="186">
        <v>3058</v>
      </c>
      <c r="B3059" s="186" t="s">
        <v>1168</v>
      </c>
      <c r="C3059" s="186" t="s">
        <v>3400</v>
      </c>
      <c r="D3059" s="186">
        <v>492.9</v>
      </c>
      <c r="E3059" s="186">
        <v>10.220000000000001</v>
      </c>
      <c r="F3059" s="186">
        <v>10.11</v>
      </c>
      <c r="G3059" s="186">
        <v>6.8633358749999998</v>
      </c>
    </row>
    <row r="3060" spans="1:7" ht="14.4">
      <c r="A3060" s="186">
        <v>3059</v>
      </c>
      <c r="B3060" s="186" t="s">
        <v>210</v>
      </c>
      <c r="C3060" s="186" t="s">
        <v>3401</v>
      </c>
      <c r="D3060" s="187">
        <v>1066.3</v>
      </c>
      <c r="E3060" s="186">
        <v>10.14</v>
      </c>
      <c r="F3060" s="186">
        <v>10.11</v>
      </c>
      <c r="G3060" s="186">
        <v>6.8633358749999998</v>
      </c>
    </row>
    <row r="3061" spans="1:7" ht="14.4">
      <c r="A3061" s="186">
        <v>3060</v>
      </c>
      <c r="B3061" s="186" t="s">
        <v>187</v>
      </c>
      <c r="C3061" s="186" t="s">
        <v>3402</v>
      </c>
      <c r="D3061" s="187">
        <v>7959.7</v>
      </c>
      <c r="E3061" s="186">
        <v>10.31</v>
      </c>
      <c r="F3061" s="186">
        <v>10.11</v>
      </c>
      <c r="G3061" s="186">
        <v>6.8633358749999998</v>
      </c>
    </row>
    <row r="3062" spans="1:7" ht="14.4">
      <c r="A3062" s="186">
        <v>3061</v>
      </c>
      <c r="B3062" s="186" t="s">
        <v>553</v>
      </c>
      <c r="C3062" s="186" t="s">
        <v>3403</v>
      </c>
      <c r="D3062" s="186">
        <v>297.5</v>
      </c>
      <c r="E3062" s="186">
        <v>10.44</v>
      </c>
      <c r="F3062" s="186">
        <v>10.119999999999999</v>
      </c>
      <c r="G3062" s="186">
        <v>6.8758129629999996</v>
      </c>
    </row>
    <row r="3063" spans="1:7" ht="14.4">
      <c r="A3063" s="186">
        <v>3062</v>
      </c>
      <c r="B3063" s="186" t="s">
        <v>1228</v>
      </c>
      <c r="C3063" s="186" t="s">
        <v>3404</v>
      </c>
      <c r="D3063" s="186">
        <v>0.8</v>
      </c>
      <c r="E3063" s="186">
        <v>10.45</v>
      </c>
      <c r="F3063" s="186">
        <v>10.130000000000001</v>
      </c>
      <c r="G3063" s="186">
        <v>6.8883115970000004</v>
      </c>
    </row>
    <row r="3064" spans="1:7" ht="14.4">
      <c r="A3064" s="186">
        <v>3063</v>
      </c>
      <c r="B3064" s="186" t="s">
        <v>197</v>
      </c>
      <c r="C3064" s="186" t="s">
        <v>3405</v>
      </c>
      <c r="D3064" s="186">
        <v>85.3</v>
      </c>
      <c r="E3064" s="186">
        <v>10.24</v>
      </c>
      <c r="F3064" s="186">
        <v>10.130000000000001</v>
      </c>
      <c r="G3064" s="186">
        <v>6.8883115970000004</v>
      </c>
    </row>
    <row r="3065" spans="1:7" ht="14.4">
      <c r="A3065" s="186">
        <v>3064</v>
      </c>
      <c r="B3065" s="186" t="s">
        <v>335</v>
      </c>
      <c r="C3065" s="186" t="s">
        <v>3406</v>
      </c>
      <c r="D3065" s="186">
        <v>966.6</v>
      </c>
      <c r="E3065" s="186">
        <v>10.02</v>
      </c>
      <c r="F3065" s="186">
        <v>10.130000000000001</v>
      </c>
      <c r="G3065" s="186">
        <v>6.8883115970000004</v>
      </c>
    </row>
    <row r="3066" spans="1:7" ht="14.4">
      <c r="A3066" s="186">
        <v>3065</v>
      </c>
      <c r="B3066" s="186" t="s">
        <v>2307</v>
      </c>
      <c r="C3066" s="186" t="s">
        <v>3407</v>
      </c>
      <c r="D3066" s="186">
        <v>52.3</v>
      </c>
      <c r="E3066" s="186">
        <v>10.23</v>
      </c>
      <c r="F3066" s="186">
        <v>10.14</v>
      </c>
      <c r="G3066" s="186">
        <v>6.9008318129999999</v>
      </c>
    </row>
    <row r="3067" spans="1:7" ht="14.4">
      <c r="A3067" s="186">
        <v>3066</v>
      </c>
      <c r="B3067" s="186" t="s">
        <v>112</v>
      </c>
      <c r="C3067" s="186" t="s">
        <v>3408</v>
      </c>
      <c r="D3067" s="187">
        <v>3435.4</v>
      </c>
      <c r="E3067" s="186">
        <v>10.62</v>
      </c>
      <c r="F3067" s="186">
        <v>10.15</v>
      </c>
      <c r="G3067" s="186">
        <v>6.9133736460000002</v>
      </c>
    </row>
    <row r="3068" spans="1:7" ht="14.4">
      <c r="A3068" s="186">
        <v>3067</v>
      </c>
      <c r="B3068" s="186" t="s">
        <v>226</v>
      </c>
      <c r="C3068" s="186" t="s">
        <v>3409</v>
      </c>
      <c r="D3068" s="186">
        <v>225.6</v>
      </c>
      <c r="E3068" s="186">
        <v>10</v>
      </c>
      <c r="F3068" s="186">
        <v>10.15</v>
      </c>
      <c r="G3068" s="186">
        <v>6.9133736460000002</v>
      </c>
    </row>
    <row r="3069" spans="1:7" ht="14.4">
      <c r="A3069" s="186">
        <v>3068</v>
      </c>
      <c r="B3069" s="186" t="s">
        <v>226</v>
      </c>
      <c r="C3069" s="186" t="s">
        <v>3410</v>
      </c>
      <c r="D3069" s="187">
        <v>1825.9</v>
      </c>
      <c r="E3069" s="186">
        <v>10.32</v>
      </c>
      <c r="F3069" s="186">
        <v>10.15</v>
      </c>
      <c r="G3069" s="186">
        <v>6.9133736460000002</v>
      </c>
    </row>
    <row r="3070" spans="1:7" ht="14.4">
      <c r="A3070" s="186">
        <v>3069</v>
      </c>
      <c r="B3070" s="186" t="s">
        <v>3411</v>
      </c>
      <c r="C3070" s="186" t="s">
        <v>3412</v>
      </c>
      <c r="D3070" s="186">
        <v>397.6</v>
      </c>
      <c r="E3070" s="186">
        <v>10.119999999999999</v>
      </c>
      <c r="F3070" s="186">
        <v>10.16</v>
      </c>
      <c r="G3070" s="186">
        <v>6.9259371310000004</v>
      </c>
    </row>
    <row r="3071" spans="1:7" ht="14.4">
      <c r="A3071" s="186">
        <v>3070</v>
      </c>
      <c r="B3071" s="186" t="s">
        <v>133</v>
      </c>
      <c r="C3071" s="186" t="s">
        <v>3413</v>
      </c>
      <c r="D3071" s="187">
        <v>3345.5</v>
      </c>
      <c r="E3071" s="186">
        <v>10.71</v>
      </c>
      <c r="F3071" s="186">
        <v>10.17</v>
      </c>
      <c r="G3071" s="186">
        <v>6.9385223030000001</v>
      </c>
    </row>
    <row r="3072" spans="1:7" ht="14.4">
      <c r="A3072" s="186">
        <v>3071</v>
      </c>
      <c r="B3072" s="186" t="s">
        <v>153</v>
      </c>
      <c r="C3072" s="186" t="s">
        <v>3414</v>
      </c>
      <c r="D3072" s="187">
        <v>3161.6</v>
      </c>
      <c r="E3072" s="186">
        <v>10.75</v>
      </c>
      <c r="F3072" s="186">
        <v>10.18</v>
      </c>
      <c r="G3072" s="186">
        <v>6.9511291999999996</v>
      </c>
    </row>
    <row r="3073" spans="1:7" ht="14.4">
      <c r="A3073" s="186">
        <v>3072</v>
      </c>
      <c r="B3073" s="186" t="s">
        <v>1729</v>
      </c>
      <c r="C3073" s="186" t="s">
        <v>3415</v>
      </c>
      <c r="D3073" s="186">
        <v>115.6</v>
      </c>
      <c r="E3073" s="186">
        <v>10.67</v>
      </c>
      <c r="F3073" s="186">
        <v>10.19</v>
      </c>
      <c r="G3073" s="186">
        <v>6.9637578539999998</v>
      </c>
    </row>
    <row r="3074" spans="1:7" ht="14.4">
      <c r="A3074" s="186">
        <v>3073</v>
      </c>
      <c r="B3074" s="186" t="s">
        <v>1168</v>
      </c>
      <c r="C3074" s="186" t="s">
        <v>3416</v>
      </c>
      <c r="D3074" s="186">
        <v>5.2</v>
      </c>
      <c r="E3074" s="186">
        <v>10.62</v>
      </c>
      <c r="F3074" s="186">
        <v>10.199999999999999</v>
      </c>
      <c r="G3074" s="186">
        <v>6.9764083030000004</v>
      </c>
    </row>
    <row r="3075" spans="1:7" ht="14.4">
      <c r="A3075" s="186">
        <v>3074</v>
      </c>
      <c r="B3075" s="186" t="s">
        <v>146</v>
      </c>
      <c r="C3075" s="186" t="s">
        <v>3417</v>
      </c>
      <c r="D3075" s="186">
        <v>586.70000000000005</v>
      </c>
      <c r="E3075" s="186">
        <v>10.29</v>
      </c>
      <c r="F3075" s="186">
        <v>10.199999999999999</v>
      </c>
      <c r="G3075" s="186">
        <v>6.9764083030000004</v>
      </c>
    </row>
    <row r="3076" spans="1:7" ht="14.4">
      <c r="A3076" s="186">
        <v>3075</v>
      </c>
      <c r="B3076" s="186" t="s">
        <v>146</v>
      </c>
      <c r="C3076" s="186" t="s">
        <v>3418</v>
      </c>
      <c r="D3076" s="186">
        <v>230.1</v>
      </c>
      <c r="E3076" s="186">
        <v>10.6</v>
      </c>
      <c r="F3076" s="186">
        <v>10.199999999999999</v>
      </c>
      <c r="G3076" s="186">
        <v>6.9764083030000004</v>
      </c>
    </row>
    <row r="3077" spans="1:7" ht="14.4">
      <c r="A3077" s="186">
        <v>3076</v>
      </c>
      <c r="B3077" s="186" t="s">
        <v>178</v>
      </c>
      <c r="C3077" s="186" t="s">
        <v>3419</v>
      </c>
      <c r="D3077" s="186">
        <v>845.9</v>
      </c>
      <c r="E3077" s="186">
        <v>10.14</v>
      </c>
      <c r="F3077" s="186">
        <v>10.220000000000001</v>
      </c>
      <c r="G3077" s="186">
        <v>7.0017747269999999</v>
      </c>
    </row>
    <row r="3078" spans="1:7" ht="14.4">
      <c r="A3078" s="186">
        <v>3077</v>
      </c>
      <c r="B3078" s="186" t="s">
        <v>175</v>
      </c>
      <c r="C3078" s="186" t="s">
        <v>3420</v>
      </c>
      <c r="D3078" s="186">
        <v>269</v>
      </c>
      <c r="E3078" s="186">
        <v>10.210000000000001</v>
      </c>
      <c r="F3078" s="186">
        <v>10.23</v>
      </c>
      <c r="G3078" s="186">
        <v>7.0144907730000003</v>
      </c>
    </row>
    <row r="3079" spans="1:7" ht="14.4">
      <c r="A3079" s="186">
        <v>3078</v>
      </c>
      <c r="B3079" s="186" t="s">
        <v>1390</v>
      </c>
      <c r="C3079" s="186" t="s">
        <v>3421</v>
      </c>
      <c r="D3079" s="186">
        <v>50.2</v>
      </c>
      <c r="E3079" s="186">
        <v>10.58</v>
      </c>
      <c r="F3079" s="186">
        <v>10.23</v>
      </c>
      <c r="G3079" s="186">
        <v>7.0144907730000003</v>
      </c>
    </row>
    <row r="3080" spans="1:7" ht="14.4">
      <c r="A3080" s="186">
        <v>3079</v>
      </c>
      <c r="B3080" s="186" t="s">
        <v>340</v>
      </c>
      <c r="C3080" s="186" t="s">
        <v>3422</v>
      </c>
      <c r="D3080" s="186">
        <v>215.6</v>
      </c>
      <c r="E3080" s="186">
        <v>10.44</v>
      </c>
      <c r="F3080" s="186">
        <v>10.23</v>
      </c>
      <c r="G3080" s="186">
        <v>7.0144907730000003</v>
      </c>
    </row>
    <row r="3081" spans="1:7" ht="14.4">
      <c r="A3081" s="186">
        <v>3080</v>
      </c>
      <c r="B3081" s="186" t="s">
        <v>477</v>
      </c>
      <c r="C3081" s="186" t="s">
        <v>3423</v>
      </c>
      <c r="D3081" s="186">
        <v>391.1</v>
      </c>
      <c r="E3081" s="186">
        <v>10.19</v>
      </c>
      <c r="F3081" s="186">
        <v>10.26</v>
      </c>
      <c r="G3081" s="186">
        <v>7.0527706769999998</v>
      </c>
    </row>
    <row r="3082" spans="1:7" ht="14.4">
      <c r="A3082" s="186">
        <v>3081</v>
      </c>
      <c r="B3082" s="186" t="s">
        <v>2307</v>
      </c>
      <c r="C3082" s="186" t="s">
        <v>3424</v>
      </c>
      <c r="D3082" s="186">
        <v>10.4</v>
      </c>
      <c r="E3082" s="186">
        <v>10.36</v>
      </c>
      <c r="F3082" s="186">
        <v>10.27</v>
      </c>
      <c r="G3082" s="186">
        <v>7.0655746869999998</v>
      </c>
    </row>
    <row r="3083" spans="1:7" ht="14.4">
      <c r="A3083" s="186">
        <v>3082</v>
      </c>
      <c r="B3083" s="186" t="s">
        <v>801</v>
      </c>
      <c r="C3083" s="186" t="s">
        <v>3425</v>
      </c>
      <c r="D3083" s="186">
        <v>519</v>
      </c>
      <c r="E3083" s="186">
        <v>10.09</v>
      </c>
      <c r="F3083" s="186">
        <v>10.28</v>
      </c>
      <c r="G3083" s="186">
        <v>7.0784007779999998</v>
      </c>
    </row>
    <row r="3084" spans="1:7" ht="14.4">
      <c r="A3084" s="186">
        <v>3083</v>
      </c>
      <c r="B3084" s="186" t="s">
        <v>184</v>
      </c>
      <c r="C3084" s="186" t="s">
        <v>3426</v>
      </c>
      <c r="D3084" s="187">
        <v>3421</v>
      </c>
      <c r="E3084" s="186">
        <v>9.9</v>
      </c>
      <c r="F3084" s="186">
        <v>10.28</v>
      </c>
      <c r="G3084" s="186">
        <v>7.0784007779999998</v>
      </c>
    </row>
    <row r="3085" spans="1:7" ht="14.4">
      <c r="A3085" s="186">
        <v>3084</v>
      </c>
      <c r="B3085" s="186" t="s">
        <v>2505</v>
      </c>
      <c r="C3085" s="186" t="s">
        <v>3427</v>
      </c>
      <c r="D3085" s="187">
        <v>1203.7</v>
      </c>
      <c r="E3085" s="186">
        <v>10.8</v>
      </c>
      <c r="F3085" s="186">
        <v>10.29</v>
      </c>
      <c r="G3085" s="186">
        <v>7.0912489860000001</v>
      </c>
    </row>
    <row r="3086" spans="1:7" ht="14.4">
      <c r="A3086" s="186">
        <v>3085</v>
      </c>
      <c r="B3086" s="186" t="s">
        <v>553</v>
      </c>
      <c r="C3086" s="186" t="s">
        <v>3428</v>
      </c>
      <c r="D3086" s="186">
        <v>35.5</v>
      </c>
      <c r="E3086" s="186">
        <v>10.68</v>
      </c>
      <c r="F3086" s="186">
        <v>10.3</v>
      </c>
      <c r="G3086" s="186">
        <v>7.1041193460000001</v>
      </c>
    </row>
    <row r="3087" spans="1:7" ht="14.4">
      <c r="A3087" s="186">
        <v>3086</v>
      </c>
      <c r="B3087" s="186" t="s">
        <v>146</v>
      </c>
      <c r="C3087" s="186" t="s">
        <v>3429</v>
      </c>
      <c r="D3087" s="186">
        <v>237</v>
      </c>
      <c r="E3087" s="186">
        <v>10.73</v>
      </c>
      <c r="F3087" s="186">
        <v>10.32</v>
      </c>
      <c r="G3087" s="186">
        <v>7.1299266719999999</v>
      </c>
    </row>
    <row r="3088" spans="1:7" ht="14.4">
      <c r="A3088" s="186">
        <v>3087</v>
      </c>
      <c r="B3088" s="186" t="s">
        <v>146</v>
      </c>
      <c r="C3088" s="186" t="s">
        <v>3430</v>
      </c>
      <c r="D3088" s="186">
        <v>202.1</v>
      </c>
      <c r="E3088" s="186">
        <v>10.72</v>
      </c>
      <c r="F3088" s="186">
        <v>10.32</v>
      </c>
      <c r="G3088" s="186">
        <v>7.1299266719999999</v>
      </c>
    </row>
    <row r="3089" spans="1:7" ht="14.4">
      <c r="A3089" s="186">
        <v>3088</v>
      </c>
      <c r="B3089" s="186" t="s">
        <v>187</v>
      </c>
      <c r="C3089" s="186" t="s">
        <v>3431</v>
      </c>
      <c r="D3089" s="187">
        <v>16980.599999999999</v>
      </c>
      <c r="E3089" s="186">
        <v>10.54</v>
      </c>
      <c r="F3089" s="186">
        <v>10.33</v>
      </c>
      <c r="G3089" s="186">
        <v>7.1428637090000002</v>
      </c>
    </row>
    <row r="3090" spans="1:7" ht="14.4">
      <c r="A3090" s="186">
        <v>3089</v>
      </c>
      <c r="B3090" s="186" t="s">
        <v>187</v>
      </c>
      <c r="C3090" s="186" t="s">
        <v>3432</v>
      </c>
      <c r="D3090" s="186">
        <v>386.2</v>
      </c>
      <c r="E3090" s="186">
        <v>10.56</v>
      </c>
      <c r="F3090" s="186">
        <v>10.35</v>
      </c>
      <c r="G3090" s="186">
        <v>7.1688047150000003</v>
      </c>
    </row>
    <row r="3091" spans="1:7" ht="14.4">
      <c r="A3091" s="186">
        <v>3090</v>
      </c>
      <c r="B3091" s="186" t="s">
        <v>483</v>
      </c>
      <c r="C3091" s="186" t="s">
        <v>3433</v>
      </c>
      <c r="D3091" s="186">
        <v>529.6</v>
      </c>
      <c r="E3091" s="186">
        <v>10.15</v>
      </c>
      <c r="F3091" s="186">
        <v>10.37</v>
      </c>
      <c r="G3091" s="186">
        <v>7.1948352050000004</v>
      </c>
    </row>
    <row r="3092" spans="1:7" ht="14.4">
      <c r="A3092" s="186">
        <v>3091</v>
      </c>
      <c r="B3092" s="186" t="s">
        <v>488</v>
      </c>
      <c r="C3092" s="186" t="s">
        <v>3434</v>
      </c>
      <c r="D3092" s="187">
        <v>1630</v>
      </c>
      <c r="E3092" s="186">
        <v>10.71</v>
      </c>
      <c r="F3092" s="186">
        <v>10.37</v>
      </c>
      <c r="G3092" s="186">
        <v>7.1948352050000004</v>
      </c>
    </row>
    <row r="3093" spans="1:7" ht="14.4">
      <c r="A3093" s="186">
        <v>3092</v>
      </c>
      <c r="B3093" s="186" t="s">
        <v>1290</v>
      </c>
      <c r="C3093" s="186" t="s">
        <v>3435</v>
      </c>
      <c r="D3093" s="187">
        <v>1369</v>
      </c>
      <c r="E3093" s="186">
        <v>10.63</v>
      </c>
      <c r="F3093" s="186">
        <v>10.38</v>
      </c>
      <c r="G3093" s="186">
        <v>7.207884097</v>
      </c>
    </row>
    <row r="3094" spans="1:7" ht="14.4">
      <c r="A3094" s="186">
        <v>3093</v>
      </c>
      <c r="B3094" s="186" t="s">
        <v>297</v>
      </c>
      <c r="C3094" s="186" t="s">
        <v>3436</v>
      </c>
      <c r="D3094" s="186">
        <v>982</v>
      </c>
      <c r="E3094" s="186">
        <v>10.32</v>
      </c>
      <c r="F3094" s="186">
        <v>10.38</v>
      </c>
      <c r="G3094" s="186">
        <v>7.207884097</v>
      </c>
    </row>
    <row r="3095" spans="1:7" ht="14.4">
      <c r="A3095" s="186">
        <v>3094</v>
      </c>
      <c r="B3095" s="186" t="s">
        <v>2307</v>
      </c>
      <c r="C3095" s="186" t="s">
        <v>3437</v>
      </c>
      <c r="D3095" s="187">
        <v>1792.3</v>
      </c>
      <c r="E3095" s="186">
        <v>10.49</v>
      </c>
      <c r="F3095" s="186">
        <v>10.39</v>
      </c>
      <c r="G3095" s="186">
        <v>7.2209554709999999</v>
      </c>
    </row>
    <row r="3096" spans="1:7" ht="14.4">
      <c r="A3096" s="186">
        <v>3095</v>
      </c>
      <c r="B3096" s="186" t="s">
        <v>440</v>
      </c>
      <c r="C3096" s="186" t="s">
        <v>3438</v>
      </c>
      <c r="D3096" s="186">
        <v>464.4</v>
      </c>
      <c r="E3096" s="186">
        <v>10.71</v>
      </c>
      <c r="F3096" s="186">
        <v>10.39</v>
      </c>
      <c r="G3096" s="186">
        <v>7.2209554709999999</v>
      </c>
    </row>
    <row r="3097" spans="1:7" ht="14.4">
      <c r="A3097" s="186">
        <v>3096</v>
      </c>
      <c r="B3097" s="186" t="s">
        <v>1168</v>
      </c>
      <c r="C3097" s="186" t="s">
        <v>3439</v>
      </c>
      <c r="D3097" s="186">
        <v>2.7</v>
      </c>
      <c r="E3097" s="186">
        <v>10.41</v>
      </c>
      <c r="F3097" s="186">
        <v>10.4</v>
      </c>
      <c r="G3097" s="186">
        <v>7.2340493620000004</v>
      </c>
    </row>
    <row r="3098" spans="1:7" ht="14.4">
      <c r="A3098" s="186">
        <v>3097</v>
      </c>
      <c r="B3098" s="186" t="s">
        <v>571</v>
      </c>
      <c r="C3098" s="186" t="s">
        <v>3440</v>
      </c>
      <c r="D3098" s="187">
        <v>1457.7</v>
      </c>
      <c r="E3098" s="186">
        <v>10.68</v>
      </c>
      <c r="F3098" s="186">
        <v>10.4</v>
      </c>
      <c r="G3098" s="186">
        <v>7.2340493620000004</v>
      </c>
    </row>
    <row r="3099" spans="1:7" ht="14.4">
      <c r="A3099" s="186">
        <v>3098</v>
      </c>
      <c r="B3099" s="186" t="s">
        <v>297</v>
      </c>
      <c r="C3099" s="186" t="s">
        <v>3441</v>
      </c>
      <c r="D3099" s="186">
        <v>268.5</v>
      </c>
      <c r="E3099" s="186">
        <v>10.33</v>
      </c>
      <c r="F3099" s="186">
        <v>10.4</v>
      </c>
      <c r="G3099" s="186">
        <v>7.2340493620000004</v>
      </c>
    </row>
    <row r="3100" spans="1:7" ht="14.4">
      <c r="A3100" s="186">
        <v>3099</v>
      </c>
      <c r="B3100" s="186" t="s">
        <v>872</v>
      </c>
      <c r="C3100" s="186" t="s">
        <v>3442</v>
      </c>
      <c r="D3100" s="186">
        <v>132.19999999999999</v>
      </c>
      <c r="E3100" s="186">
        <v>10.45</v>
      </c>
      <c r="F3100" s="186">
        <v>10.41</v>
      </c>
      <c r="G3100" s="186">
        <v>7.247165807</v>
      </c>
    </row>
    <row r="3101" spans="1:7" ht="14.4">
      <c r="A3101" s="186">
        <v>3100</v>
      </c>
      <c r="B3101" s="186" t="s">
        <v>2307</v>
      </c>
      <c r="C3101" s="186" t="s">
        <v>3443</v>
      </c>
      <c r="D3101" s="186">
        <v>146.5</v>
      </c>
      <c r="E3101" s="186">
        <v>10.51</v>
      </c>
      <c r="F3101" s="186">
        <v>10.41</v>
      </c>
      <c r="G3101" s="186">
        <v>7.247165807</v>
      </c>
    </row>
    <row r="3102" spans="1:7" ht="14.4">
      <c r="A3102" s="186">
        <v>3101</v>
      </c>
      <c r="B3102" s="186" t="s">
        <v>210</v>
      </c>
      <c r="C3102" s="186" t="s">
        <v>3444</v>
      </c>
      <c r="D3102" s="187">
        <v>1183.7</v>
      </c>
      <c r="E3102" s="186">
        <v>10.75</v>
      </c>
      <c r="F3102" s="186">
        <v>10.42</v>
      </c>
      <c r="G3102" s="186">
        <v>7.2603048430000001</v>
      </c>
    </row>
    <row r="3103" spans="1:7" ht="14.4">
      <c r="A3103" s="186">
        <v>3102</v>
      </c>
      <c r="B3103" s="186" t="s">
        <v>488</v>
      </c>
      <c r="C3103" s="186" t="s">
        <v>3445</v>
      </c>
      <c r="D3103" s="187">
        <v>1847.9</v>
      </c>
      <c r="E3103" s="186">
        <v>10.77</v>
      </c>
      <c r="F3103" s="186">
        <v>10.43</v>
      </c>
      <c r="G3103" s="186">
        <v>7.2734665070000002</v>
      </c>
    </row>
    <row r="3104" spans="1:7" ht="14.4">
      <c r="A3104" s="186">
        <v>3103</v>
      </c>
      <c r="B3104" s="186" t="s">
        <v>280</v>
      </c>
      <c r="C3104" s="186" t="s">
        <v>3446</v>
      </c>
      <c r="D3104" s="186">
        <v>69.8</v>
      </c>
      <c r="E3104" s="186">
        <v>10.86</v>
      </c>
      <c r="F3104" s="186">
        <v>10.43</v>
      </c>
      <c r="G3104" s="186">
        <v>7.2734665070000002</v>
      </c>
    </row>
    <row r="3105" spans="1:7" ht="14.4">
      <c r="A3105" s="186">
        <v>3104</v>
      </c>
      <c r="B3105" s="186" t="s">
        <v>1168</v>
      </c>
      <c r="C3105" s="186" t="s">
        <v>3447</v>
      </c>
      <c r="D3105" s="186">
        <v>64.2</v>
      </c>
      <c r="E3105" s="186">
        <v>10.88</v>
      </c>
      <c r="F3105" s="186">
        <v>10.47</v>
      </c>
      <c r="G3105" s="186">
        <v>7.3263401799999999</v>
      </c>
    </row>
    <row r="3106" spans="1:7" ht="14.4">
      <c r="A3106" s="186">
        <v>3105</v>
      </c>
      <c r="B3106" s="186" t="s">
        <v>2307</v>
      </c>
      <c r="C3106" s="186" t="s">
        <v>3448</v>
      </c>
      <c r="D3106" s="186">
        <v>271.2</v>
      </c>
      <c r="E3106" s="186">
        <v>10.57</v>
      </c>
      <c r="F3106" s="186">
        <v>10.47</v>
      </c>
      <c r="G3106" s="186">
        <v>7.3263401799999999</v>
      </c>
    </row>
    <row r="3107" spans="1:7" ht="14.4">
      <c r="A3107" s="186">
        <v>3106</v>
      </c>
      <c r="B3107" s="186" t="s">
        <v>293</v>
      </c>
      <c r="C3107" s="186" t="s">
        <v>3449</v>
      </c>
      <c r="D3107" s="186">
        <v>267.89999999999998</v>
      </c>
      <c r="E3107" s="186">
        <v>10.73</v>
      </c>
      <c r="F3107" s="186">
        <v>10.49</v>
      </c>
      <c r="G3107" s="186">
        <v>7.3529137459999996</v>
      </c>
    </row>
    <row r="3108" spans="1:7" ht="14.4">
      <c r="A3108" s="186">
        <v>3107</v>
      </c>
      <c r="B3108" s="186" t="s">
        <v>175</v>
      </c>
      <c r="C3108" s="186" t="s">
        <v>3450</v>
      </c>
      <c r="D3108" s="186">
        <v>880.7</v>
      </c>
      <c r="E3108" s="186">
        <v>10.35</v>
      </c>
      <c r="F3108" s="186">
        <v>10.51</v>
      </c>
      <c r="G3108" s="186">
        <v>7.3795788619999998</v>
      </c>
    </row>
    <row r="3109" spans="1:7" ht="14.4">
      <c r="A3109" s="186">
        <v>3108</v>
      </c>
      <c r="B3109" s="186" t="s">
        <v>187</v>
      </c>
      <c r="C3109" s="186" t="s">
        <v>3451</v>
      </c>
      <c r="D3109" s="186">
        <v>163.9</v>
      </c>
      <c r="E3109" s="186">
        <v>10.72</v>
      </c>
      <c r="F3109" s="186">
        <v>10.53</v>
      </c>
      <c r="G3109" s="186">
        <v>7.4063358270000004</v>
      </c>
    </row>
    <row r="3110" spans="1:7" ht="14.4">
      <c r="A3110" s="186">
        <v>3109</v>
      </c>
      <c r="B3110" s="186" t="s">
        <v>210</v>
      </c>
      <c r="C3110" s="186" t="s">
        <v>3452</v>
      </c>
      <c r="D3110" s="187">
        <v>2707.8</v>
      </c>
      <c r="E3110" s="186">
        <v>10.87</v>
      </c>
      <c r="F3110" s="186">
        <v>10.54</v>
      </c>
      <c r="G3110" s="186">
        <v>7.4197488460000001</v>
      </c>
    </row>
    <row r="3111" spans="1:7" ht="14.4">
      <c r="A3111" s="186">
        <v>3110</v>
      </c>
      <c r="B3111" s="186" t="s">
        <v>801</v>
      </c>
      <c r="C3111" s="186" t="s">
        <v>3453</v>
      </c>
      <c r="D3111" s="187">
        <v>3252.9</v>
      </c>
      <c r="E3111" s="186">
        <v>10.7</v>
      </c>
      <c r="F3111" s="186">
        <v>10.56</v>
      </c>
      <c r="G3111" s="186">
        <v>7.4466441449999996</v>
      </c>
    </row>
    <row r="3112" spans="1:7" ht="14.4">
      <c r="A3112" s="186">
        <v>3111</v>
      </c>
      <c r="B3112" s="186" t="s">
        <v>168</v>
      </c>
      <c r="C3112" s="186" t="s">
        <v>3454</v>
      </c>
      <c r="D3112" s="186">
        <v>237.7</v>
      </c>
      <c r="E3112" s="186">
        <v>10.58</v>
      </c>
      <c r="F3112" s="186">
        <v>10.56</v>
      </c>
      <c r="G3112" s="186">
        <v>7.4466441449999996</v>
      </c>
    </row>
    <row r="3113" spans="1:7" ht="14.4">
      <c r="A3113" s="186">
        <v>3112</v>
      </c>
      <c r="B3113" s="186" t="s">
        <v>178</v>
      </c>
      <c r="C3113" s="186" t="s">
        <v>3455</v>
      </c>
      <c r="D3113" s="186">
        <v>39.799999999999997</v>
      </c>
      <c r="E3113" s="186">
        <v>10.81</v>
      </c>
      <c r="F3113" s="186">
        <v>10.57</v>
      </c>
      <c r="G3113" s="186">
        <v>7.4601265010000004</v>
      </c>
    </row>
    <row r="3114" spans="1:7" ht="14.4">
      <c r="A3114" s="186">
        <v>3113</v>
      </c>
      <c r="B3114" s="186" t="s">
        <v>571</v>
      </c>
      <c r="C3114" s="186" t="s">
        <v>3456</v>
      </c>
      <c r="D3114" s="187">
        <v>2580.1999999999998</v>
      </c>
      <c r="E3114" s="186">
        <v>10.87</v>
      </c>
      <c r="F3114" s="186">
        <v>10.58</v>
      </c>
      <c r="G3114" s="186">
        <v>7.4736320440000004</v>
      </c>
    </row>
    <row r="3115" spans="1:7" ht="14.4">
      <c r="A3115" s="186">
        <v>3114</v>
      </c>
      <c r="B3115" s="186" t="s">
        <v>178</v>
      </c>
      <c r="C3115" s="186" t="s">
        <v>3457</v>
      </c>
      <c r="D3115" s="187">
        <v>3426.6</v>
      </c>
      <c r="E3115" s="186">
        <v>10.83</v>
      </c>
      <c r="F3115" s="186">
        <v>10.58</v>
      </c>
      <c r="G3115" s="186">
        <v>7.4736320440000004</v>
      </c>
    </row>
    <row r="3116" spans="1:7" ht="14.4">
      <c r="A3116" s="186">
        <v>3115</v>
      </c>
      <c r="B3116" s="186" t="s">
        <v>553</v>
      </c>
      <c r="C3116" s="186" t="s">
        <v>3458</v>
      </c>
      <c r="D3116" s="186">
        <v>71.7</v>
      </c>
      <c r="E3116" s="186">
        <v>10.96</v>
      </c>
      <c r="F3116" s="186">
        <v>10.58</v>
      </c>
      <c r="G3116" s="186">
        <v>7.4736320440000004</v>
      </c>
    </row>
    <row r="3117" spans="1:7" ht="14.4">
      <c r="A3117" s="186">
        <v>3116</v>
      </c>
      <c r="B3117" s="186" t="s">
        <v>178</v>
      </c>
      <c r="C3117" s="186" t="s">
        <v>3459</v>
      </c>
      <c r="D3117" s="186">
        <v>51</v>
      </c>
      <c r="E3117" s="186">
        <v>10.84</v>
      </c>
      <c r="F3117" s="186">
        <v>10.59</v>
      </c>
      <c r="G3117" s="186">
        <v>7.487160813</v>
      </c>
    </row>
    <row r="3118" spans="1:7" ht="14.4">
      <c r="A3118" s="186">
        <v>3117</v>
      </c>
      <c r="B3118" s="186" t="s">
        <v>335</v>
      </c>
      <c r="C3118" s="186" t="s">
        <v>3460</v>
      </c>
      <c r="D3118" s="186">
        <v>670.6</v>
      </c>
      <c r="E3118" s="186">
        <v>10.49</v>
      </c>
      <c r="F3118" s="186">
        <v>10.59</v>
      </c>
      <c r="G3118" s="186">
        <v>7.487160813</v>
      </c>
    </row>
    <row r="3119" spans="1:7" ht="14.4">
      <c r="A3119" s="186">
        <v>3118</v>
      </c>
      <c r="B3119" s="186" t="s">
        <v>1893</v>
      </c>
      <c r="C3119" s="186" t="s">
        <v>3461</v>
      </c>
      <c r="D3119" s="186">
        <v>346.1</v>
      </c>
      <c r="E3119" s="186" t="s">
        <v>152</v>
      </c>
      <c r="F3119" s="186">
        <v>10.6</v>
      </c>
      <c r="G3119" s="186">
        <v>7.5007128449999998</v>
      </c>
    </row>
    <row r="3120" spans="1:7" ht="14.4">
      <c r="A3120" s="186">
        <v>3119</v>
      </c>
      <c r="B3120" s="186" t="s">
        <v>178</v>
      </c>
      <c r="C3120" s="186" t="s">
        <v>3462</v>
      </c>
      <c r="D3120" s="186">
        <v>46.1</v>
      </c>
      <c r="E3120" s="186">
        <v>10.85</v>
      </c>
      <c r="F3120" s="186">
        <v>10.6</v>
      </c>
      <c r="G3120" s="186">
        <v>7.5007128449999998</v>
      </c>
    </row>
    <row r="3121" spans="1:7" ht="14.4">
      <c r="A3121" s="186">
        <v>3120</v>
      </c>
      <c r="B3121" s="186" t="s">
        <v>252</v>
      </c>
      <c r="C3121" s="186" t="s">
        <v>3463</v>
      </c>
      <c r="D3121" s="186">
        <v>61.7</v>
      </c>
      <c r="E3121" s="186">
        <v>10.78</v>
      </c>
      <c r="F3121" s="186">
        <v>10.6</v>
      </c>
      <c r="G3121" s="186">
        <v>7.5007128449999998</v>
      </c>
    </row>
    <row r="3122" spans="1:7" ht="14.4">
      <c r="A3122" s="186">
        <v>3121</v>
      </c>
      <c r="B3122" s="186" t="s">
        <v>122</v>
      </c>
      <c r="C3122" s="186" t="s">
        <v>3464</v>
      </c>
      <c r="D3122" s="186">
        <v>631.9</v>
      </c>
      <c r="E3122" s="186">
        <v>10.57</v>
      </c>
      <c r="F3122" s="186">
        <v>10.6</v>
      </c>
      <c r="G3122" s="186">
        <v>7.5007128449999998</v>
      </c>
    </row>
    <row r="3123" spans="1:7" ht="14.4">
      <c r="A3123" s="186">
        <v>3122</v>
      </c>
      <c r="B3123" s="186" t="s">
        <v>553</v>
      </c>
      <c r="C3123" s="186" t="s">
        <v>3465</v>
      </c>
      <c r="D3123" s="186">
        <v>53.9</v>
      </c>
      <c r="E3123" s="186">
        <v>10.66</v>
      </c>
      <c r="F3123" s="186">
        <v>10.61</v>
      </c>
      <c r="G3123" s="186">
        <v>7.5142881780000002</v>
      </c>
    </row>
    <row r="3124" spans="1:7" ht="14.4">
      <c r="A3124" s="186">
        <v>3123</v>
      </c>
      <c r="B3124" s="186" t="s">
        <v>293</v>
      </c>
      <c r="C3124" s="186" t="s">
        <v>3466</v>
      </c>
      <c r="D3124" s="186">
        <v>98.9</v>
      </c>
      <c r="E3124" s="186">
        <v>11.17</v>
      </c>
      <c r="F3124" s="186">
        <v>10.61</v>
      </c>
      <c r="G3124" s="186">
        <v>7.5142881780000002</v>
      </c>
    </row>
    <row r="3125" spans="1:7" ht="14.4">
      <c r="A3125" s="186">
        <v>3124</v>
      </c>
      <c r="B3125" s="186" t="s">
        <v>2307</v>
      </c>
      <c r="C3125" s="186" t="s">
        <v>3467</v>
      </c>
      <c r="D3125" s="186">
        <v>20.3</v>
      </c>
      <c r="E3125" s="186">
        <v>10.72</v>
      </c>
      <c r="F3125" s="186">
        <v>10.61</v>
      </c>
      <c r="G3125" s="186">
        <v>7.5142881780000002</v>
      </c>
    </row>
    <row r="3126" spans="1:7" ht="14.4">
      <c r="A3126" s="186">
        <v>3125</v>
      </c>
      <c r="B3126" s="186" t="s">
        <v>187</v>
      </c>
      <c r="C3126" s="186" t="s">
        <v>3468</v>
      </c>
      <c r="D3126" s="187">
        <v>11057</v>
      </c>
      <c r="E3126" s="186">
        <v>10.82</v>
      </c>
      <c r="F3126" s="186">
        <v>10.61</v>
      </c>
      <c r="G3126" s="186">
        <v>7.5142881780000002</v>
      </c>
    </row>
    <row r="3127" spans="1:7" ht="14.4">
      <c r="A3127" s="186">
        <v>3126</v>
      </c>
      <c r="B3127" s="186" t="s">
        <v>488</v>
      </c>
      <c r="C3127" s="186" t="s">
        <v>3469</v>
      </c>
      <c r="D3127" s="187">
        <v>3726</v>
      </c>
      <c r="E3127" s="186">
        <v>10.99</v>
      </c>
      <c r="F3127" s="186">
        <v>10.64</v>
      </c>
      <c r="G3127" s="186">
        <v>7.5551543629999998</v>
      </c>
    </row>
    <row r="3128" spans="1:7" ht="14.4">
      <c r="A3128" s="186">
        <v>3127</v>
      </c>
      <c r="B3128" s="186" t="s">
        <v>488</v>
      </c>
      <c r="C3128" s="186" t="s">
        <v>3470</v>
      </c>
      <c r="D3128" s="186">
        <v>23.2</v>
      </c>
      <c r="E3128" s="186" t="s">
        <v>152</v>
      </c>
      <c r="F3128" s="186">
        <v>10.65</v>
      </c>
      <c r="G3128" s="186">
        <v>7.5688232800000002</v>
      </c>
    </row>
    <row r="3129" spans="1:7" ht="14.4">
      <c r="A3129" s="186">
        <v>3128</v>
      </c>
      <c r="B3129" s="186" t="s">
        <v>3471</v>
      </c>
      <c r="C3129" s="186" t="s">
        <v>3472</v>
      </c>
      <c r="D3129" s="187">
        <v>1273.5999999999999</v>
      </c>
      <c r="E3129" s="186">
        <v>10.84</v>
      </c>
      <c r="F3129" s="186">
        <v>10.66</v>
      </c>
      <c r="G3129" s="186">
        <v>7.5825156890000001</v>
      </c>
    </row>
    <row r="3130" spans="1:7" ht="14.4">
      <c r="A3130" s="186">
        <v>3129</v>
      </c>
      <c r="B3130" s="186" t="s">
        <v>335</v>
      </c>
      <c r="C3130" s="186" t="s">
        <v>3473</v>
      </c>
      <c r="D3130" s="186">
        <v>14.2</v>
      </c>
      <c r="E3130" s="186">
        <v>10.86</v>
      </c>
      <c r="F3130" s="186">
        <v>10.66</v>
      </c>
      <c r="G3130" s="186">
        <v>7.5825156890000001</v>
      </c>
    </row>
    <row r="3131" spans="1:7" ht="14.4">
      <c r="A3131" s="186">
        <v>3130</v>
      </c>
      <c r="B3131" s="186" t="s">
        <v>1893</v>
      </c>
      <c r="C3131" s="186" t="s">
        <v>3474</v>
      </c>
      <c r="D3131" s="186">
        <v>227.6</v>
      </c>
      <c r="E3131" s="186">
        <v>10.86</v>
      </c>
      <c r="F3131" s="186">
        <v>10.68</v>
      </c>
      <c r="G3131" s="186">
        <v>7.6099711330000002</v>
      </c>
    </row>
    <row r="3132" spans="1:7" ht="14.4">
      <c r="A3132" s="186">
        <v>3131</v>
      </c>
      <c r="B3132" s="186" t="s">
        <v>553</v>
      </c>
      <c r="C3132" s="186" t="s">
        <v>3475</v>
      </c>
      <c r="D3132" s="186">
        <v>805.3</v>
      </c>
      <c r="E3132" s="186">
        <v>11.05</v>
      </c>
      <c r="F3132" s="186">
        <v>10.68</v>
      </c>
      <c r="G3132" s="186">
        <v>7.6099711330000002</v>
      </c>
    </row>
    <row r="3133" spans="1:7" ht="14.4">
      <c r="A3133" s="186">
        <v>3132</v>
      </c>
      <c r="B3133" s="186" t="s">
        <v>3476</v>
      </c>
      <c r="C3133" s="186" t="s">
        <v>3477</v>
      </c>
      <c r="D3133" s="186">
        <v>81.7</v>
      </c>
      <c r="E3133" s="186">
        <v>10.8</v>
      </c>
      <c r="F3133" s="186">
        <v>10.7</v>
      </c>
      <c r="G3133" s="186">
        <v>7.6375210029999998</v>
      </c>
    </row>
    <row r="3134" spans="1:7" ht="14.4">
      <c r="A3134" s="186">
        <v>3133</v>
      </c>
      <c r="B3134" s="186" t="s">
        <v>280</v>
      </c>
      <c r="C3134" s="186" t="s">
        <v>3478</v>
      </c>
      <c r="D3134" s="186">
        <v>50.3</v>
      </c>
      <c r="E3134" s="186">
        <v>11.46</v>
      </c>
      <c r="F3134" s="186">
        <v>10.7</v>
      </c>
      <c r="G3134" s="186">
        <v>7.6375210029999998</v>
      </c>
    </row>
    <row r="3135" spans="1:7" ht="14.4">
      <c r="A3135" s="186">
        <v>3134</v>
      </c>
      <c r="B3135" s="186" t="s">
        <v>553</v>
      </c>
      <c r="C3135" s="186" t="s">
        <v>3479</v>
      </c>
      <c r="D3135" s="186">
        <v>133.9</v>
      </c>
      <c r="E3135" s="186">
        <v>11.08</v>
      </c>
      <c r="F3135" s="186">
        <v>10.71</v>
      </c>
      <c r="G3135" s="186">
        <v>7.6513314440000002</v>
      </c>
    </row>
    <row r="3136" spans="1:7" ht="14.4">
      <c r="A3136" s="186">
        <v>3135</v>
      </c>
      <c r="B3136" s="186" t="s">
        <v>335</v>
      </c>
      <c r="C3136" s="186" t="s">
        <v>3480</v>
      </c>
      <c r="D3136" s="186">
        <v>621.6</v>
      </c>
      <c r="E3136" s="186">
        <v>10.92</v>
      </c>
      <c r="F3136" s="186">
        <v>10.72</v>
      </c>
      <c r="G3136" s="186">
        <v>7.6651656060000004</v>
      </c>
    </row>
    <row r="3137" spans="1:7" ht="14.4">
      <c r="A3137" s="186">
        <v>3136</v>
      </c>
      <c r="B3137" s="186" t="s">
        <v>122</v>
      </c>
      <c r="C3137" s="186" t="s">
        <v>3481</v>
      </c>
      <c r="D3137" s="186">
        <v>563.20000000000005</v>
      </c>
      <c r="E3137" s="186">
        <v>11.05</v>
      </c>
      <c r="F3137" s="186">
        <v>10.73</v>
      </c>
      <c r="G3137" s="186">
        <v>7.6790235290000002</v>
      </c>
    </row>
    <row r="3138" spans="1:7" ht="14.4">
      <c r="A3138" s="186">
        <v>3137</v>
      </c>
      <c r="B3138" s="186" t="s">
        <v>122</v>
      </c>
      <c r="C3138" s="186" t="s">
        <v>3482</v>
      </c>
      <c r="D3138" s="187">
        <v>6798.6</v>
      </c>
      <c r="E3138" s="186">
        <v>10.91</v>
      </c>
      <c r="F3138" s="186">
        <v>10.75</v>
      </c>
      <c r="G3138" s="186">
        <v>7.7068108100000003</v>
      </c>
    </row>
    <row r="3139" spans="1:7" ht="14.4">
      <c r="A3139" s="186">
        <v>3138</v>
      </c>
      <c r="B3139" s="186" t="s">
        <v>872</v>
      </c>
      <c r="C3139" s="186" t="s">
        <v>3483</v>
      </c>
      <c r="D3139" s="186">
        <v>763.9</v>
      </c>
      <c r="E3139" s="186" t="s">
        <v>152</v>
      </c>
      <c r="F3139" s="186">
        <v>10.75</v>
      </c>
      <c r="G3139" s="186">
        <v>7.7068108100000003</v>
      </c>
    </row>
    <row r="3140" spans="1:7" ht="14.4">
      <c r="A3140" s="186">
        <v>3139</v>
      </c>
      <c r="B3140" s="186" t="s">
        <v>728</v>
      </c>
      <c r="C3140" s="186" t="s">
        <v>3484</v>
      </c>
      <c r="D3140" s="186">
        <v>671.2</v>
      </c>
      <c r="E3140" s="186">
        <v>10.65</v>
      </c>
      <c r="F3140" s="186">
        <v>10.76</v>
      </c>
      <c r="G3140" s="186">
        <v>7.7207402470000002</v>
      </c>
    </row>
    <row r="3141" spans="1:7" ht="14.4">
      <c r="A3141" s="186">
        <v>3140</v>
      </c>
      <c r="B3141" s="186" t="s">
        <v>3061</v>
      </c>
      <c r="C3141" s="186" t="s">
        <v>3485</v>
      </c>
      <c r="D3141" s="187">
        <v>1161.9000000000001</v>
      </c>
      <c r="E3141" s="186">
        <v>10.89</v>
      </c>
      <c r="F3141" s="186">
        <v>10.76</v>
      </c>
      <c r="G3141" s="186">
        <v>7.7207402470000002</v>
      </c>
    </row>
    <row r="3142" spans="1:7" ht="14.4">
      <c r="A3142" s="186">
        <v>3141</v>
      </c>
      <c r="B3142" s="186" t="s">
        <v>3393</v>
      </c>
      <c r="C3142" s="186" t="s">
        <v>3486</v>
      </c>
      <c r="D3142" s="186">
        <v>969.4</v>
      </c>
      <c r="E3142" s="186">
        <v>10.95</v>
      </c>
      <c r="F3142" s="186">
        <v>10.79</v>
      </c>
      <c r="G3142" s="186">
        <v>7.7626722020000001</v>
      </c>
    </row>
    <row r="3143" spans="1:7" ht="14.4">
      <c r="A3143" s="186">
        <v>3142</v>
      </c>
      <c r="B3143" s="186" t="s">
        <v>158</v>
      </c>
      <c r="C3143" s="186" t="s">
        <v>3487</v>
      </c>
      <c r="D3143" s="186">
        <v>129.4</v>
      </c>
      <c r="E3143" s="186">
        <v>11.16</v>
      </c>
      <c r="F3143" s="186">
        <v>10.8</v>
      </c>
      <c r="G3143" s="186">
        <v>7.7766975330000001</v>
      </c>
    </row>
    <row r="3144" spans="1:7" ht="14.4">
      <c r="A3144" s="186">
        <v>3143</v>
      </c>
      <c r="B3144" s="186" t="s">
        <v>1390</v>
      </c>
      <c r="C3144" s="186" t="s">
        <v>3488</v>
      </c>
      <c r="D3144" s="186">
        <v>11</v>
      </c>
      <c r="E3144" s="186">
        <v>11.17</v>
      </c>
      <c r="F3144" s="186">
        <v>10.81</v>
      </c>
      <c r="G3144" s="186">
        <v>7.7907469359999997</v>
      </c>
    </row>
    <row r="3145" spans="1:7" ht="14.4">
      <c r="A3145" s="186">
        <v>3144</v>
      </c>
      <c r="B3145" s="186" t="s">
        <v>187</v>
      </c>
      <c r="C3145" s="186" t="s">
        <v>3489</v>
      </c>
      <c r="D3145" s="187">
        <v>1004.9</v>
      </c>
      <c r="E3145" s="186">
        <v>11.02</v>
      </c>
      <c r="F3145" s="186">
        <v>10.83</v>
      </c>
      <c r="G3145" s="186">
        <v>7.8189181110000003</v>
      </c>
    </row>
    <row r="3146" spans="1:7" ht="14.4">
      <c r="A3146" s="186">
        <v>3145</v>
      </c>
      <c r="B3146" s="186" t="s">
        <v>175</v>
      </c>
      <c r="C3146" s="186" t="s">
        <v>3490</v>
      </c>
      <c r="D3146" s="186">
        <v>889.4</v>
      </c>
      <c r="E3146" s="186">
        <v>11.01</v>
      </c>
      <c r="F3146" s="186">
        <v>10.84</v>
      </c>
      <c r="G3146" s="186">
        <v>7.833039962</v>
      </c>
    </row>
    <row r="3147" spans="1:7" ht="14.4">
      <c r="A3147" s="186">
        <v>3146</v>
      </c>
      <c r="B3147" s="186" t="s">
        <v>122</v>
      </c>
      <c r="C3147" s="186" t="s">
        <v>3491</v>
      </c>
      <c r="D3147" s="187">
        <v>1605.3</v>
      </c>
      <c r="E3147" s="186">
        <v>11.08</v>
      </c>
      <c r="F3147" s="186">
        <v>10.86</v>
      </c>
      <c r="G3147" s="186">
        <v>7.861356389</v>
      </c>
    </row>
    <row r="3148" spans="1:7" ht="14.4">
      <c r="A3148" s="186">
        <v>3147</v>
      </c>
      <c r="B3148" s="186" t="s">
        <v>252</v>
      </c>
      <c r="C3148" s="186" t="s">
        <v>3492</v>
      </c>
      <c r="D3148" s="186">
        <v>708.5</v>
      </c>
      <c r="E3148" s="186">
        <v>10.72</v>
      </c>
      <c r="F3148" s="186">
        <v>10.87</v>
      </c>
      <c r="G3148" s="186">
        <v>7.8755510429999998</v>
      </c>
    </row>
    <row r="3149" spans="1:7" ht="14.4">
      <c r="A3149" s="186">
        <v>3148</v>
      </c>
      <c r="B3149" s="186" t="s">
        <v>153</v>
      </c>
      <c r="C3149" s="186" t="s">
        <v>3493</v>
      </c>
      <c r="D3149" s="187">
        <v>28016.400000000001</v>
      </c>
      <c r="E3149" s="186">
        <v>11.09</v>
      </c>
      <c r="F3149" s="186">
        <v>10.92</v>
      </c>
      <c r="G3149" s="186">
        <v>7.9468903019999999</v>
      </c>
    </row>
    <row r="3150" spans="1:7" ht="14.4">
      <c r="A3150" s="186">
        <v>3149</v>
      </c>
      <c r="B3150" s="186" t="s">
        <v>553</v>
      </c>
      <c r="C3150" s="186" t="s">
        <v>3494</v>
      </c>
      <c r="D3150" s="187">
        <v>1029.2</v>
      </c>
      <c r="E3150" s="186">
        <v>11.29</v>
      </c>
      <c r="F3150" s="186">
        <v>10.92</v>
      </c>
      <c r="G3150" s="186">
        <v>7.9468903019999999</v>
      </c>
    </row>
    <row r="3151" spans="1:7" ht="14.4">
      <c r="A3151" s="186">
        <v>3150</v>
      </c>
      <c r="B3151" s="186" t="s">
        <v>553</v>
      </c>
      <c r="C3151" s="186" t="s">
        <v>3495</v>
      </c>
      <c r="D3151" s="186">
        <v>300</v>
      </c>
      <c r="E3151" s="186">
        <v>11.32</v>
      </c>
      <c r="F3151" s="186">
        <v>10.94</v>
      </c>
      <c r="G3151" s="186">
        <v>7.975597542</v>
      </c>
    </row>
    <row r="3152" spans="1:7" ht="14.4">
      <c r="A3152" s="186">
        <v>3151</v>
      </c>
      <c r="B3152" s="186" t="s">
        <v>335</v>
      </c>
      <c r="C3152" s="186" t="s">
        <v>3496</v>
      </c>
      <c r="D3152" s="187">
        <v>6346.2</v>
      </c>
      <c r="E3152" s="186">
        <v>10.51</v>
      </c>
      <c r="F3152" s="186">
        <v>10.94</v>
      </c>
      <c r="G3152" s="186">
        <v>7.975597542</v>
      </c>
    </row>
    <row r="3153" spans="1:7" ht="14.4">
      <c r="A3153" s="186">
        <v>3152</v>
      </c>
      <c r="B3153" s="186" t="s">
        <v>1168</v>
      </c>
      <c r="C3153" s="186" t="s">
        <v>3497</v>
      </c>
      <c r="D3153" s="186">
        <v>0.1</v>
      </c>
      <c r="E3153" s="186">
        <v>10.96</v>
      </c>
      <c r="F3153" s="186">
        <v>10.95</v>
      </c>
      <c r="G3153" s="186">
        <v>7.9899880789999997</v>
      </c>
    </row>
    <row r="3154" spans="1:7" ht="14.4">
      <c r="A3154" s="186">
        <v>3153</v>
      </c>
      <c r="B3154" s="186" t="s">
        <v>553</v>
      </c>
      <c r="C3154" s="186" t="s">
        <v>3498</v>
      </c>
      <c r="D3154" s="186">
        <v>193.8</v>
      </c>
      <c r="E3154" s="186">
        <v>11.33</v>
      </c>
      <c r="F3154" s="186">
        <v>10.95</v>
      </c>
      <c r="G3154" s="186">
        <v>7.9899880789999997</v>
      </c>
    </row>
    <row r="3155" spans="1:7" ht="14.4">
      <c r="A3155" s="186">
        <v>3154</v>
      </c>
      <c r="B3155" s="186" t="s">
        <v>488</v>
      </c>
      <c r="C3155" s="186" t="s">
        <v>3499</v>
      </c>
      <c r="D3155" s="186">
        <v>18.899999999999999</v>
      </c>
      <c r="E3155" s="186" t="s">
        <v>152</v>
      </c>
      <c r="F3155" s="186">
        <v>10.95</v>
      </c>
      <c r="G3155" s="186">
        <v>7.9899880789999997</v>
      </c>
    </row>
    <row r="3156" spans="1:7" ht="14.4">
      <c r="A3156" s="186">
        <v>3155</v>
      </c>
      <c r="B3156" s="186" t="s">
        <v>122</v>
      </c>
      <c r="C3156" s="186" t="s">
        <v>3500</v>
      </c>
      <c r="D3156" s="186">
        <v>555.70000000000005</v>
      </c>
      <c r="E3156" s="186">
        <v>11.51</v>
      </c>
      <c r="F3156" s="186">
        <v>10.96</v>
      </c>
      <c r="G3156" s="186">
        <v>8.0044032810000001</v>
      </c>
    </row>
    <row r="3157" spans="1:7" ht="14.4">
      <c r="A3157" s="186">
        <v>3156</v>
      </c>
      <c r="B3157" s="186" t="s">
        <v>252</v>
      </c>
      <c r="C3157" s="186" t="s">
        <v>3501</v>
      </c>
      <c r="D3157" s="186">
        <v>173.6</v>
      </c>
      <c r="E3157" s="186">
        <v>11.15</v>
      </c>
      <c r="F3157" s="186">
        <v>10.97</v>
      </c>
      <c r="G3157" s="186">
        <v>8.0188431869999999</v>
      </c>
    </row>
    <row r="3158" spans="1:7" ht="14.4">
      <c r="A3158" s="186">
        <v>3157</v>
      </c>
      <c r="B3158" s="186" t="s">
        <v>153</v>
      </c>
      <c r="C3158" s="186" t="s">
        <v>3502</v>
      </c>
      <c r="D3158" s="187">
        <v>10235.299999999999</v>
      </c>
      <c r="E3158" s="186">
        <v>11.15</v>
      </c>
      <c r="F3158" s="186">
        <v>10.98</v>
      </c>
      <c r="G3158" s="186">
        <v>8.0333078390000008</v>
      </c>
    </row>
    <row r="3159" spans="1:7" ht="14.4">
      <c r="A3159" s="186">
        <v>3158</v>
      </c>
      <c r="B3159" s="186" t="s">
        <v>2443</v>
      </c>
      <c r="C3159" s="186" t="s">
        <v>3503</v>
      </c>
      <c r="D3159" s="187">
        <v>4790.2</v>
      </c>
      <c r="E3159" s="186">
        <v>11.23</v>
      </c>
      <c r="F3159" s="186">
        <v>10.98</v>
      </c>
      <c r="G3159" s="186">
        <v>8.0333078390000008</v>
      </c>
    </row>
    <row r="3160" spans="1:7" ht="14.4">
      <c r="A3160" s="186">
        <v>3159</v>
      </c>
      <c r="B3160" s="186" t="s">
        <v>728</v>
      </c>
      <c r="C3160" s="186" t="s">
        <v>3504</v>
      </c>
      <c r="D3160" s="186">
        <v>354.2</v>
      </c>
      <c r="E3160" s="186">
        <v>11.16</v>
      </c>
      <c r="F3160" s="186">
        <v>10.98</v>
      </c>
      <c r="G3160" s="186">
        <v>8.0333078390000008</v>
      </c>
    </row>
    <row r="3161" spans="1:7" ht="14.4">
      <c r="A3161" s="186">
        <v>3160</v>
      </c>
      <c r="B3161" s="186" t="s">
        <v>1390</v>
      </c>
      <c r="C3161" s="186" t="s">
        <v>3505</v>
      </c>
      <c r="D3161" s="186">
        <v>270.10000000000002</v>
      </c>
      <c r="E3161" s="186">
        <v>11.08</v>
      </c>
      <c r="F3161" s="186">
        <v>11.02</v>
      </c>
      <c r="G3161" s="186">
        <v>8.0914146959999993</v>
      </c>
    </row>
    <row r="3162" spans="1:7" ht="14.4">
      <c r="A3162" s="186">
        <v>3161</v>
      </c>
      <c r="B3162" s="186" t="s">
        <v>122</v>
      </c>
      <c r="C3162" s="186" t="s">
        <v>3506</v>
      </c>
      <c r="D3162" s="187">
        <v>1880.3</v>
      </c>
      <c r="E3162" s="186">
        <v>11.57</v>
      </c>
      <c r="F3162" s="186">
        <v>11.04</v>
      </c>
      <c r="G3162" s="186">
        <v>8.1206176410000008</v>
      </c>
    </row>
    <row r="3163" spans="1:7" ht="14.4">
      <c r="A3163" s="186">
        <v>3162</v>
      </c>
      <c r="B3163" s="186" t="s">
        <v>187</v>
      </c>
      <c r="C3163" s="186" t="s">
        <v>3507</v>
      </c>
      <c r="D3163" s="187">
        <v>23878.9</v>
      </c>
      <c r="E3163" s="186">
        <v>11.27</v>
      </c>
      <c r="F3163" s="186">
        <v>11.07</v>
      </c>
      <c r="G3163" s="186">
        <v>8.1646098640000009</v>
      </c>
    </row>
    <row r="3164" spans="1:7" ht="14.4">
      <c r="A3164" s="186">
        <v>3163</v>
      </c>
      <c r="B3164" s="186" t="s">
        <v>488</v>
      </c>
      <c r="C3164" s="186" t="s">
        <v>3508</v>
      </c>
      <c r="D3164" s="186">
        <v>844.3</v>
      </c>
      <c r="E3164" s="186" t="s">
        <v>152</v>
      </c>
      <c r="F3164" s="186">
        <v>11.09</v>
      </c>
      <c r="G3164" s="186">
        <v>8.1940636920000003</v>
      </c>
    </row>
    <row r="3165" spans="1:7" ht="14.4">
      <c r="A3165" s="186">
        <v>3164</v>
      </c>
      <c r="B3165" s="186" t="s">
        <v>335</v>
      </c>
      <c r="C3165" s="186" t="s">
        <v>3509</v>
      </c>
      <c r="D3165" s="187">
        <v>16982.7</v>
      </c>
      <c r="E3165" s="186">
        <v>11.04</v>
      </c>
      <c r="F3165" s="186">
        <v>11.14</v>
      </c>
      <c r="G3165" s="186">
        <v>8.2681405199999993</v>
      </c>
    </row>
    <row r="3166" spans="1:7" ht="14.4">
      <c r="A3166" s="186">
        <v>3165</v>
      </c>
      <c r="B3166" s="186" t="s">
        <v>2307</v>
      </c>
      <c r="C3166" s="186" t="s">
        <v>3510</v>
      </c>
      <c r="D3166" s="186">
        <v>38.799999999999997</v>
      </c>
      <c r="E3166" s="186">
        <v>11.27</v>
      </c>
      <c r="F3166" s="186">
        <v>11.15</v>
      </c>
      <c r="G3166" s="186">
        <v>8.2830320289999992</v>
      </c>
    </row>
    <row r="3167" spans="1:7" ht="14.4">
      <c r="A3167" s="186">
        <v>3166</v>
      </c>
      <c r="B3167" s="186" t="s">
        <v>317</v>
      </c>
      <c r="C3167" s="186" t="s">
        <v>3511</v>
      </c>
      <c r="D3167" s="186">
        <v>9.8000000000000007</v>
      </c>
      <c r="E3167" s="186">
        <v>11.25</v>
      </c>
      <c r="F3167" s="186">
        <v>11.16</v>
      </c>
      <c r="G3167" s="186">
        <v>8.2979490160000005</v>
      </c>
    </row>
    <row r="3168" spans="1:7" ht="14.4">
      <c r="A3168" s="186">
        <v>3167</v>
      </c>
      <c r="B3168" s="186" t="s">
        <v>3393</v>
      </c>
      <c r="C3168" s="186" t="s">
        <v>3512</v>
      </c>
      <c r="D3168" s="186">
        <v>317.10000000000002</v>
      </c>
      <c r="E3168" s="186">
        <v>11.66</v>
      </c>
      <c r="F3168" s="186">
        <v>11.22</v>
      </c>
      <c r="G3168" s="186">
        <v>8.3879882769999998</v>
      </c>
    </row>
    <row r="3169" spans="1:7" ht="14.4">
      <c r="A3169" s="186">
        <v>3168</v>
      </c>
      <c r="B3169" s="186" t="s">
        <v>1168</v>
      </c>
      <c r="C3169" s="186" t="s">
        <v>3513</v>
      </c>
      <c r="D3169" s="186">
        <v>5.9</v>
      </c>
      <c r="E3169" s="186">
        <v>10.92</v>
      </c>
      <c r="F3169" s="186">
        <v>11.23</v>
      </c>
      <c r="G3169" s="186">
        <v>8.4030847649999991</v>
      </c>
    </row>
    <row r="3170" spans="1:7" ht="14.4">
      <c r="A3170" s="186">
        <v>3169</v>
      </c>
      <c r="B3170" s="186" t="s">
        <v>335</v>
      </c>
      <c r="C3170" s="186" t="s">
        <v>3514</v>
      </c>
      <c r="D3170" s="186">
        <v>186.7</v>
      </c>
      <c r="E3170" s="186">
        <v>11.43</v>
      </c>
      <c r="F3170" s="186">
        <v>11.23</v>
      </c>
      <c r="G3170" s="186">
        <v>8.4030847649999991</v>
      </c>
    </row>
    <row r="3171" spans="1:7" ht="14.4">
      <c r="A3171" s="186">
        <v>3170</v>
      </c>
      <c r="B3171" s="186" t="s">
        <v>317</v>
      </c>
      <c r="C3171" s="186" t="s">
        <v>3515</v>
      </c>
      <c r="D3171" s="186">
        <v>19.600000000000001</v>
      </c>
      <c r="E3171" s="186">
        <v>11.32</v>
      </c>
      <c r="F3171" s="186">
        <v>11.24</v>
      </c>
      <c r="G3171" s="186">
        <v>8.4182070620000005</v>
      </c>
    </row>
    <row r="3172" spans="1:7" ht="14.4">
      <c r="A3172" s="186">
        <v>3171</v>
      </c>
      <c r="B3172" s="186" t="s">
        <v>1893</v>
      </c>
      <c r="C3172" s="186" t="s">
        <v>3516</v>
      </c>
      <c r="D3172" s="186">
        <v>98.8</v>
      </c>
      <c r="E3172" s="186">
        <v>11.65</v>
      </c>
      <c r="F3172" s="186">
        <v>11.26</v>
      </c>
      <c r="G3172" s="186">
        <v>8.4485292520000002</v>
      </c>
    </row>
    <row r="3173" spans="1:7" ht="14.4">
      <c r="A3173" s="186">
        <v>3172</v>
      </c>
      <c r="B3173" s="186" t="s">
        <v>187</v>
      </c>
      <c r="C3173" s="186" t="s">
        <v>3517</v>
      </c>
      <c r="D3173" s="187">
        <v>4096.3</v>
      </c>
      <c r="E3173" s="186">
        <v>11.04</v>
      </c>
      <c r="F3173" s="186">
        <v>11.27</v>
      </c>
      <c r="G3173" s="186">
        <v>8.463729228</v>
      </c>
    </row>
    <row r="3174" spans="1:7" ht="14.4">
      <c r="A3174" s="186">
        <v>3173</v>
      </c>
      <c r="B3174" s="186" t="s">
        <v>1390</v>
      </c>
      <c r="C3174" s="186" t="s">
        <v>3518</v>
      </c>
      <c r="D3174" s="187">
        <v>1668.3</v>
      </c>
      <c r="E3174" s="186">
        <v>11.64</v>
      </c>
      <c r="F3174" s="186">
        <v>11.28</v>
      </c>
      <c r="G3174" s="186">
        <v>8.478955182</v>
      </c>
    </row>
    <row r="3175" spans="1:7" ht="14.4">
      <c r="A3175" s="186">
        <v>3174</v>
      </c>
      <c r="B3175" s="186" t="s">
        <v>801</v>
      </c>
      <c r="C3175" s="186" t="s">
        <v>3519</v>
      </c>
      <c r="D3175" s="186">
        <v>33.200000000000003</v>
      </c>
      <c r="E3175" s="186">
        <v>11.43</v>
      </c>
      <c r="F3175" s="186">
        <v>11.3</v>
      </c>
      <c r="G3175" s="186">
        <v>8.5094851889999994</v>
      </c>
    </row>
    <row r="3176" spans="1:7" ht="14.4">
      <c r="A3176" s="186">
        <v>3175</v>
      </c>
      <c r="B3176" s="186" t="s">
        <v>2307</v>
      </c>
      <c r="C3176" s="186" t="s">
        <v>3520</v>
      </c>
      <c r="D3176" s="186">
        <v>122.7</v>
      </c>
      <c r="E3176" s="186">
        <v>11.39</v>
      </c>
      <c r="F3176" s="186">
        <v>11.3</v>
      </c>
      <c r="G3176" s="186">
        <v>8.5094851889999994</v>
      </c>
    </row>
    <row r="3177" spans="1:7" ht="14.4">
      <c r="A3177" s="186">
        <v>3176</v>
      </c>
      <c r="B3177" s="186" t="s">
        <v>1457</v>
      </c>
      <c r="C3177" s="186" t="s">
        <v>3521</v>
      </c>
      <c r="D3177" s="186">
        <v>350.3</v>
      </c>
      <c r="E3177" s="186">
        <v>11.71</v>
      </c>
      <c r="F3177" s="186">
        <v>11.32</v>
      </c>
      <c r="G3177" s="186">
        <v>8.5401196089999996</v>
      </c>
    </row>
    <row r="3178" spans="1:7" ht="14.4">
      <c r="A3178" s="186">
        <v>3177</v>
      </c>
      <c r="B3178" s="186" t="s">
        <v>3471</v>
      </c>
      <c r="C3178" s="186" t="s">
        <v>3522</v>
      </c>
      <c r="D3178" s="186">
        <v>594.1</v>
      </c>
      <c r="E3178" s="186">
        <v>11.55</v>
      </c>
      <c r="F3178" s="186">
        <v>11.32</v>
      </c>
      <c r="G3178" s="186">
        <v>8.5401196089999996</v>
      </c>
    </row>
    <row r="3179" spans="1:7" ht="14.4">
      <c r="A3179" s="186">
        <v>3178</v>
      </c>
      <c r="B3179" s="186" t="s">
        <v>1168</v>
      </c>
      <c r="C3179" s="186" t="s">
        <v>3523</v>
      </c>
      <c r="D3179" s="186">
        <v>116.9</v>
      </c>
      <c r="E3179" s="186">
        <v>11.79</v>
      </c>
      <c r="F3179" s="186">
        <v>11.37</v>
      </c>
      <c r="G3179" s="186">
        <v>8.6171646899999992</v>
      </c>
    </row>
    <row r="3180" spans="1:7" ht="14.4">
      <c r="A3180" s="186">
        <v>3179</v>
      </c>
      <c r="B3180" s="186" t="s">
        <v>122</v>
      </c>
      <c r="C3180" s="186" t="s">
        <v>3524</v>
      </c>
      <c r="D3180" s="187">
        <v>1819.2</v>
      </c>
      <c r="E3180" s="186">
        <v>11.69</v>
      </c>
      <c r="F3180" s="186">
        <v>11.42</v>
      </c>
      <c r="G3180" s="186">
        <v>8.694869787</v>
      </c>
    </row>
    <row r="3181" spans="1:7" ht="14.4">
      <c r="A3181" s="186">
        <v>3180</v>
      </c>
      <c r="B3181" s="186" t="s">
        <v>2307</v>
      </c>
      <c r="C3181" s="186" t="s">
        <v>3525</v>
      </c>
      <c r="D3181" s="186">
        <v>64.3</v>
      </c>
      <c r="E3181" s="186">
        <v>11.51</v>
      </c>
      <c r="F3181" s="186">
        <v>11.42</v>
      </c>
      <c r="G3181" s="186">
        <v>8.694869787</v>
      </c>
    </row>
    <row r="3182" spans="1:7" ht="14.4">
      <c r="A3182" s="186">
        <v>3181</v>
      </c>
      <c r="B3182" s="186" t="s">
        <v>3526</v>
      </c>
      <c r="C3182" s="186" t="s">
        <v>3527</v>
      </c>
      <c r="D3182" s="187">
        <v>2127.9</v>
      </c>
      <c r="E3182" s="186">
        <v>11.75</v>
      </c>
      <c r="F3182" s="186">
        <v>11.43</v>
      </c>
      <c r="G3182" s="186">
        <v>8.7104904790000006</v>
      </c>
    </row>
    <row r="3183" spans="1:7" ht="14.4">
      <c r="A3183" s="186">
        <v>3182</v>
      </c>
      <c r="B3183" s="186" t="s">
        <v>187</v>
      </c>
      <c r="C3183" s="186" t="s">
        <v>3528</v>
      </c>
      <c r="D3183" s="187">
        <v>6529.7</v>
      </c>
      <c r="E3183" s="186">
        <v>11.67</v>
      </c>
      <c r="F3183" s="186">
        <v>11.46</v>
      </c>
      <c r="G3183" s="186">
        <v>8.7575126720000007</v>
      </c>
    </row>
    <row r="3184" spans="1:7" ht="14.4">
      <c r="A3184" s="186">
        <v>3183</v>
      </c>
      <c r="B3184" s="186" t="s">
        <v>2307</v>
      </c>
      <c r="C3184" s="186" t="s">
        <v>3529</v>
      </c>
      <c r="D3184" s="186">
        <v>6.1</v>
      </c>
      <c r="E3184" s="186">
        <v>11.58</v>
      </c>
      <c r="F3184" s="186">
        <v>11.47</v>
      </c>
      <c r="G3184" s="186">
        <v>8.7732402530000009</v>
      </c>
    </row>
    <row r="3185" spans="1:7" ht="14.4">
      <c r="A3185" s="186">
        <v>3184</v>
      </c>
      <c r="B3185" s="186" t="s">
        <v>1168</v>
      </c>
      <c r="C3185" s="186" t="s">
        <v>3530</v>
      </c>
      <c r="D3185" s="186">
        <v>52.3</v>
      </c>
      <c r="E3185" s="186">
        <v>11.49</v>
      </c>
      <c r="F3185" s="186">
        <v>11.48</v>
      </c>
      <c r="G3185" s="186">
        <v>8.7889946640000005</v>
      </c>
    </row>
    <row r="3186" spans="1:7" ht="14.4">
      <c r="A3186" s="186">
        <v>3185</v>
      </c>
      <c r="B3186" s="186" t="s">
        <v>122</v>
      </c>
      <c r="C3186" s="186" t="s">
        <v>3531</v>
      </c>
      <c r="D3186" s="186">
        <v>395</v>
      </c>
      <c r="E3186" s="186">
        <v>11.94</v>
      </c>
      <c r="F3186" s="186">
        <v>11.56</v>
      </c>
      <c r="G3186" s="186">
        <v>8.916001069</v>
      </c>
    </row>
    <row r="3187" spans="1:7" ht="14.4">
      <c r="A3187" s="186">
        <v>3186</v>
      </c>
      <c r="B3187" s="186" t="s">
        <v>335</v>
      </c>
      <c r="C3187" s="186" t="s">
        <v>3532</v>
      </c>
      <c r="D3187" s="187">
        <v>3040.1</v>
      </c>
      <c r="E3187" s="186">
        <v>11.43</v>
      </c>
      <c r="F3187" s="186">
        <v>11.56</v>
      </c>
      <c r="G3187" s="186">
        <v>8.916001069</v>
      </c>
    </row>
    <row r="3188" spans="1:7" ht="14.4">
      <c r="A3188" s="186">
        <v>3187</v>
      </c>
      <c r="B3188" s="186" t="s">
        <v>1168</v>
      </c>
      <c r="C3188" s="186" t="s">
        <v>3533</v>
      </c>
      <c r="D3188" s="186">
        <v>64.599999999999994</v>
      </c>
      <c r="E3188" s="186">
        <v>11.58</v>
      </c>
      <c r="F3188" s="186">
        <v>11.57</v>
      </c>
      <c r="G3188" s="186">
        <v>8.9319989139999993</v>
      </c>
    </row>
    <row r="3189" spans="1:7" ht="14.4">
      <c r="A3189" s="186">
        <v>3188</v>
      </c>
      <c r="B3189" s="186" t="s">
        <v>2307</v>
      </c>
      <c r="C3189" s="186" t="s">
        <v>3534</v>
      </c>
      <c r="D3189" s="186">
        <v>96.1</v>
      </c>
      <c r="E3189" s="186">
        <v>11.68</v>
      </c>
      <c r="F3189" s="186">
        <v>11.57</v>
      </c>
      <c r="G3189" s="186">
        <v>8.9319989139999993</v>
      </c>
    </row>
    <row r="3190" spans="1:7" ht="14.4">
      <c r="A3190" s="186">
        <v>3189</v>
      </c>
      <c r="B3190" s="186" t="s">
        <v>801</v>
      </c>
      <c r="C3190" s="186" t="s">
        <v>3535</v>
      </c>
      <c r="D3190" s="186">
        <v>42.4</v>
      </c>
      <c r="E3190" s="186">
        <v>12.04</v>
      </c>
      <c r="F3190" s="186">
        <v>11.58</v>
      </c>
      <c r="G3190" s="186">
        <v>8.9480240250000005</v>
      </c>
    </row>
    <row r="3191" spans="1:7" ht="14.4">
      <c r="A3191" s="186">
        <v>3190</v>
      </c>
      <c r="B3191" s="186" t="s">
        <v>335</v>
      </c>
      <c r="C3191" s="186" t="s">
        <v>3536</v>
      </c>
      <c r="D3191" s="186">
        <v>299</v>
      </c>
      <c r="E3191" s="186">
        <v>11.89</v>
      </c>
      <c r="F3191" s="186">
        <v>11.69</v>
      </c>
      <c r="G3191" s="186">
        <v>9.1261125130000007</v>
      </c>
    </row>
    <row r="3192" spans="1:7" ht="14.4">
      <c r="A3192" s="186">
        <v>3191</v>
      </c>
      <c r="B3192" s="186" t="s">
        <v>2307</v>
      </c>
      <c r="C3192" s="186" t="s">
        <v>3537</v>
      </c>
      <c r="D3192" s="186">
        <v>766.2</v>
      </c>
      <c r="E3192" s="186">
        <v>11.95</v>
      </c>
      <c r="F3192" s="186">
        <v>11.84</v>
      </c>
      <c r="G3192" s="186">
        <v>9.3743932520000008</v>
      </c>
    </row>
    <row r="3193" spans="1:7" ht="14.4">
      <c r="A3193" s="186">
        <v>3192</v>
      </c>
      <c r="B3193" s="186" t="s">
        <v>335</v>
      </c>
      <c r="C3193" s="186" t="s">
        <v>3538</v>
      </c>
      <c r="D3193" s="187">
        <v>1411.9</v>
      </c>
      <c r="E3193" s="186">
        <v>12.06</v>
      </c>
      <c r="F3193" s="186">
        <v>11.86</v>
      </c>
      <c r="G3193" s="186">
        <v>9.4079781449999995</v>
      </c>
    </row>
    <row r="3194" spans="1:7" ht="14.4">
      <c r="A3194" s="186">
        <v>3193</v>
      </c>
      <c r="B3194" s="186" t="s">
        <v>2307</v>
      </c>
      <c r="C3194" s="186" t="s">
        <v>3539</v>
      </c>
      <c r="D3194" s="186">
        <v>590.6</v>
      </c>
      <c r="E3194" s="186">
        <v>12.06</v>
      </c>
      <c r="F3194" s="186">
        <v>11.95</v>
      </c>
      <c r="G3194" s="186">
        <v>9.5605297730000007</v>
      </c>
    </row>
    <row r="3195" spans="1:7" ht="14.4">
      <c r="A3195" s="186">
        <v>3194</v>
      </c>
      <c r="B3195" s="186" t="s">
        <v>114</v>
      </c>
      <c r="C3195" s="186" t="s">
        <v>3540</v>
      </c>
      <c r="D3195" s="186">
        <v>398.1</v>
      </c>
      <c r="E3195" s="186">
        <v>12.32</v>
      </c>
      <c r="F3195" s="186">
        <v>12.15</v>
      </c>
      <c r="G3195" s="186">
        <v>9.9079899719999993</v>
      </c>
    </row>
    <row r="3196" spans="1:7" ht="14.4">
      <c r="A3196" s="186">
        <v>3195</v>
      </c>
      <c r="B3196" s="186" t="s">
        <v>1168</v>
      </c>
      <c r="C3196" s="186" t="s">
        <v>3541</v>
      </c>
      <c r="D3196" s="186">
        <v>471.6</v>
      </c>
      <c r="E3196" s="186">
        <v>12.32</v>
      </c>
      <c r="F3196" s="186">
        <v>12.21</v>
      </c>
      <c r="G3196" s="186">
        <v>10.01454558</v>
      </c>
    </row>
    <row r="3197" spans="1:7" ht="14.4">
      <c r="A3197" s="186">
        <v>3196</v>
      </c>
      <c r="B3197" s="186" t="s">
        <v>1605</v>
      </c>
      <c r="C3197" s="186" t="s">
        <v>3542</v>
      </c>
      <c r="D3197" s="187">
        <v>1667.1</v>
      </c>
      <c r="E3197" s="186">
        <v>12.8</v>
      </c>
      <c r="F3197" s="186">
        <v>12.23</v>
      </c>
      <c r="G3197" s="186">
        <v>10.05030539</v>
      </c>
    </row>
    <row r="3198" spans="1:7" ht="14.4">
      <c r="A3198" s="186">
        <v>3197</v>
      </c>
      <c r="B3198" s="186" t="s">
        <v>1168</v>
      </c>
      <c r="C3198" s="186" t="s">
        <v>3543</v>
      </c>
      <c r="D3198" s="186">
        <v>15.9</v>
      </c>
      <c r="E3198" s="186">
        <v>12.75</v>
      </c>
      <c r="F3198" s="186">
        <v>12.32</v>
      </c>
      <c r="G3198" s="186">
        <v>10.21273107</v>
      </c>
    </row>
    <row r="3199" spans="1:7" ht="14.4">
      <c r="A3199" s="186">
        <v>3198</v>
      </c>
      <c r="B3199" s="186" t="s">
        <v>158</v>
      </c>
      <c r="C3199" s="186" t="s">
        <v>3544</v>
      </c>
      <c r="D3199" s="186">
        <v>670.1</v>
      </c>
      <c r="E3199" s="186" t="s">
        <v>152</v>
      </c>
      <c r="F3199" s="186">
        <v>12.35</v>
      </c>
      <c r="G3199" s="186">
        <v>10.2674249</v>
      </c>
    </row>
    <row r="3200" spans="1:7" ht="14.4">
      <c r="A3200" s="186">
        <v>3199</v>
      </c>
      <c r="B3200" s="186" t="s">
        <v>3545</v>
      </c>
      <c r="C3200" s="186" t="s">
        <v>3546</v>
      </c>
      <c r="D3200" s="186">
        <v>71.3</v>
      </c>
      <c r="E3200" s="186">
        <v>12.59</v>
      </c>
      <c r="F3200" s="186">
        <v>12.43</v>
      </c>
      <c r="G3200" s="186">
        <v>10.41463882</v>
      </c>
    </row>
    <row r="3201" spans="1:7" ht="14.4">
      <c r="A3201" s="186">
        <v>3200</v>
      </c>
      <c r="B3201" s="186" t="s">
        <v>3547</v>
      </c>
      <c r="C3201" s="186" t="s">
        <v>3548</v>
      </c>
      <c r="D3201" s="186">
        <v>622.70000000000005</v>
      </c>
      <c r="E3201" s="186">
        <v>13.41</v>
      </c>
      <c r="F3201" s="186">
        <v>12.45</v>
      </c>
      <c r="G3201" s="186">
        <v>10.45175439</v>
      </c>
    </row>
    <row r="3202" spans="1:7" ht="14.4">
      <c r="A3202" s="186">
        <v>3201</v>
      </c>
      <c r="B3202" s="186" t="s">
        <v>317</v>
      </c>
      <c r="C3202" s="186" t="s">
        <v>3549</v>
      </c>
      <c r="D3202" s="187">
        <v>2704.2</v>
      </c>
      <c r="E3202" s="186">
        <v>12.21</v>
      </c>
      <c r="F3202" s="186">
        <v>12.45</v>
      </c>
      <c r="G3202" s="186">
        <v>10.45175439</v>
      </c>
    </row>
    <row r="3203" spans="1:7" ht="14.4">
      <c r="A3203" s="186">
        <v>3202</v>
      </c>
      <c r="B3203" s="186" t="s">
        <v>1877</v>
      </c>
      <c r="C3203" s="186" t="s">
        <v>3550</v>
      </c>
      <c r="D3203" s="187">
        <v>2453</v>
      </c>
      <c r="E3203" s="186">
        <v>13.28</v>
      </c>
      <c r="F3203" s="186">
        <v>12.52</v>
      </c>
      <c r="G3203" s="186">
        <v>10.582650900000001</v>
      </c>
    </row>
    <row r="3204" spans="1:7" ht="14.4">
      <c r="A3204" s="186">
        <v>3203</v>
      </c>
      <c r="B3204" s="186" t="s">
        <v>1877</v>
      </c>
      <c r="C3204" s="186" t="s">
        <v>3551</v>
      </c>
      <c r="D3204" s="186">
        <v>640.6</v>
      </c>
      <c r="E3204" s="186">
        <v>13.3</v>
      </c>
      <c r="F3204" s="186">
        <v>12.54</v>
      </c>
      <c r="G3204" s="186">
        <v>10.62033501</v>
      </c>
    </row>
    <row r="3205" spans="1:7" ht="14.4">
      <c r="A3205" s="186">
        <v>3204</v>
      </c>
      <c r="B3205" s="186" t="s">
        <v>1168</v>
      </c>
      <c r="C3205" s="186" t="s">
        <v>3552</v>
      </c>
      <c r="D3205" s="186">
        <v>62.4</v>
      </c>
      <c r="E3205" s="186">
        <v>12.98</v>
      </c>
      <c r="F3205" s="186">
        <v>12.55</v>
      </c>
      <c r="G3205" s="186">
        <v>10.63922483</v>
      </c>
    </row>
    <row r="3206" spans="1:7" ht="14.4">
      <c r="A3206" s="186">
        <v>3205</v>
      </c>
      <c r="B3206" s="186" t="s">
        <v>1168</v>
      </c>
      <c r="C3206" s="186" t="s">
        <v>3553</v>
      </c>
      <c r="D3206" s="186">
        <v>773</v>
      </c>
      <c r="E3206" s="186">
        <v>13.03</v>
      </c>
      <c r="F3206" s="186">
        <v>12.6</v>
      </c>
      <c r="G3206" s="186">
        <v>10.73415372</v>
      </c>
    </row>
    <row r="3207" spans="1:7" ht="14.4">
      <c r="A3207" s="186">
        <v>3206</v>
      </c>
      <c r="B3207" s="186" t="s">
        <v>122</v>
      </c>
      <c r="C3207" s="186" t="s">
        <v>3554</v>
      </c>
      <c r="D3207" s="187">
        <v>9291.7999999999993</v>
      </c>
      <c r="E3207" s="186">
        <v>12.63</v>
      </c>
      <c r="F3207" s="186">
        <v>12.75</v>
      </c>
      <c r="G3207" s="186">
        <v>11.02379202</v>
      </c>
    </row>
    <row r="3208" spans="1:7" ht="14.4">
      <c r="A3208" s="186">
        <v>3207</v>
      </c>
      <c r="B3208" s="186" t="s">
        <v>317</v>
      </c>
      <c r="C3208" s="186" t="s">
        <v>3555</v>
      </c>
      <c r="D3208" s="186">
        <v>763.2</v>
      </c>
      <c r="E3208" s="186">
        <v>12.9</v>
      </c>
      <c r="F3208" s="186">
        <v>12.81</v>
      </c>
      <c r="G3208" s="186">
        <v>11.14171344</v>
      </c>
    </row>
    <row r="3209" spans="1:7" ht="14.4">
      <c r="A3209" s="186">
        <v>3208</v>
      </c>
      <c r="B3209" s="186" t="s">
        <v>184</v>
      </c>
      <c r="C3209" s="186" t="s">
        <v>3556</v>
      </c>
      <c r="D3209" s="187">
        <v>2270.6</v>
      </c>
      <c r="E3209" s="186">
        <v>13.25</v>
      </c>
      <c r="F3209" s="186">
        <v>12.92</v>
      </c>
      <c r="G3209" s="186">
        <v>11.3610217</v>
      </c>
    </row>
    <row r="3210" spans="1:7" ht="14.4">
      <c r="A3210" s="186">
        <v>3209</v>
      </c>
      <c r="B3210" s="186" t="s">
        <v>184</v>
      </c>
      <c r="C3210" s="186" t="s">
        <v>3557</v>
      </c>
      <c r="D3210" s="187">
        <v>10666.3</v>
      </c>
      <c r="E3210" s="186">
        <v>12.93</v>
      </c>
      <c r="F3210" s="186">
        <v>12.92</v>
      </c>
      <c r="G3210" s="186">
        <v>11.3610217</v>
      </c>
    </row>
    <row r="3211" spans="1:7" ht="14.4">
      <c r="A3211" s="186">
        <v>3210</v>
      </c>
      <c r="B3211" s="186" t="s">
        <v>122</v>
      </c>
      <c r="C3211" s="186" t="s">
        <v>3558</v>
      </c>
      <c r="D3211" s="187">
        <v>4295.7</v>
      </c>
      <c r="E3211" s="186">
        <v>13.38</v>
      </c>
      <c r="F3211" s="186">
        <v>12.95</v>
      </c>
      <c r="G3211" s="186">
        <v>11.42154105</v>
      </c>
    </row>
    <row r="3212" spans="1:7" ht="14.4">
      <c r="A3212" s="186">
        <v>3211</v>
      </c>
      <c r="B3212" s="186" t="s">
        <v>3559</v>
      </c>
      <c r="C3212" s="186" t="s">
        <v>3560</v>
      </c>
      <c r="D3212" s="186">
        <v>933.5</v>
      </c>
      <c r="E3212" s="186">
        <v>12.98</v>
      </c>
      <c r="F3212" s="186">
        <v>13.02</v>
      </c>
      <c r="G3212" s="186">
        <v>11.56394611</v>
      </c>
    </row>
    <row r="3213" spans="1:7" ht="14.4">
      <c r="A3213" s="186">
        <v>3212</v>
      </c>
      <c r="B3213" s="186" t="s">
        <v>365</v>
      </c>
      <c r="C3213" s="186" t="s">
        <v>3561</v>
      </c>
      <c r="D3213" s="186">
        <v>103</v>
      </c>
      <c r="E3213" s="186" t="s">
        <v>152</v>
      </c>
      <c r="F3213" s="186">
        <v>13.07</v>
      </c>
      <c r="G3213" s="186">
        <v>11.66669497</v>
      </c>
    </row>
    <row r="3214" spans="1:7" ht="14.4">
      <c r="A3214" s="186">
        <v>3213</v>
      </c>
      <c r="B3214" s="186" t="s">
        <v>365</v>
      </c>
      <c r="C3214" s="186" t="s">
        <v>3562</v>
      </c>
      <c r="D3214" s="186">
        <v>98.5</v>
      </c>
      <c r="E3214" s="186" t="s">
        <v>152</v>
      </c>
      <c r="F3214" s="186">
        <v>13.07</v>
      </c>
      <c r="G3214" s="186">
        <v>11.66669497</v>
      </c>
    </row>
    <row r="3215" spans="1:7" ht="14.4">
      <c r="A3215" s="186">
        <v>3214</v>
      </c>
      <c r="B3215" s="186" t="s">
        <v>365</v>
      </c>
      <c r="C3215" s="186" t="s">
        <v>3563</v>
      </c>
      <c r="D3215" s="187">
        <v>1977.5</v>
      </c>
      <c r="E3215" s="186" t="s">
        <v>152</v>
      </c>
      <c r="F3215" s="186">
        <v>13.34</v>
      </c>
      <c r="G3215" s="186">
        <v>12.23669587</v>
      </c>
    </row>
    <row r="3216" spans="1:7" ht="14.4">
      <c r="A3216" s="186">
        <v>3215</v>
      </c>
      <c r="B3216" s="186" t="s">
        <v>365</v>
      </c>
      <c r="C3216" s="186" t="s">
        <v>3564</v>
      </c>
      <c r="D3216" s="187">
        <v>1772.5</v>
      </c>
      <c r="E3216" s="186" t="s">
        <v>152</v>
      </c>
      <c r="F3216" s="186">
        <v>13.34</v>
      </c>
      <c r="G3216" s="186">
        <v>12.23669587</v>
      </c>
    </row>
    <row r="3217" spans="1:7" ht="14.4">
      <c r="A3217" s="186">
        <v>3216</v>
      </c>
      <c r="B3217" s="186" t="s">
        <v>158</v>
      </c>
      <c r="C3217" s="186" t="s">
        <v>3565</v>
      </c>
      <c r="D3217" s="186">
        <v>643.29999999999995</v>
      </c>
      <c r="E3217" s="186" t="s">
        <v>152</v>
      </c>
      <c r="F3217" s="186">
        <v>13.36</v>
      </c>
      <c r="G3217" s="186">
        <v>12.279954139999999</v>
      </c>
    </row>
    <row r="3218" spans="1:7" ht="14.4">
      <c r="A3218" s="186">
        <v>3217</v>
      </c>
      <c r="B3218" s="186" t="s">
        <v>3061</v>
      </c>
      <c r="C3218" s="186" t="s">
        <v>3566</v>
      </c>
      <c r="D3218" s="186">
        <v>298.10000000000002</v>
      </c>
      <c r="E3218" s="186">
        <v>13.6</v>
      </c>
      <c r="F3218" s="186">
        <v>13.45</v>
      </c>
      <c r="G3218" s="186">
        <v>12.47642052</v>
      </c>
    </row>
    <row r="3219" spans="1:7" ht="14.4">
      <c r="A3219" s="186">
        <v>3218</v>
      </c>
      <c r="B3219" s="186" t="s">
        <v>187</v>
      </c>
      <c r="C3219" s="186" t="s">
        <v>3567</v>
      </c>
      <c r="D3219" s="187">
        <v>10923.7</v>
      </c>
      <c r="E3219" s="186">
        <v>13.83</v>
      </c>
      <c r="F3219" s="186">
        <v>13.75</v>
      </c>
      <c r="G3219" s="186">
        <v>13.15309953</v>
      </c>
    </row>
    <row r="3220" spans="1:7" ht="14.4">
      <c r="A3220" s="186">
        <v>3219</v>
      </c>
      <c r="B3220" s="186" t="s">
        <v>187</v>
      </c>
      <c r="C3220" s="186" t="s">
        <v>3568</v>
      </c>
      <c r="D3220" s="187">
        <v>4250</v>
      </c>
      <c r="E3220" s="186">
        <v>15.12</v>
      </c>
      <c r="F3220" s="186">
        <v>15.11</v>
      </c>
      <c r="G3220" s="186">
        <v>16.68249788</v>
      </c>
    </row>
    <row r="3221" spans="1:7" ht="14.4">
      <c r="A3221" s="186"/>
      <c r="B3221" s="186"/>
      <c r="C3221" s="186"/>
      <c r="D3221" s="186"/>
      <c r="E3221" s="186"/>
      <c r="F3221" s="186" t="s">
        <v>3569</v>
      </c>
      <c r="G3221" s="186">
        <v>13377.3698</v>
      </c>
    </row>
    <row r="3222" spans="1:7" ht="14.4">
      <c r="A3222" s="186"/>
      <c r="B3222" s="186"/>
      <c r="C3222" s="186"/>
      <c r="D3222" s="186"/>
      <c r="E3222" s="186" t="s">
        <v>3570</v>
      </c>
      <c r="F3222" s="186">
        <v>7.3822471000000001E-2</v>
      </c>
      <c r="G3222" s="18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46"/>
  <sheetViews>
    <sheetView topLeftCell="A51" workbookViewId="0">
      <selection activeCell="I12" sqref="I12"/>
    </sheetView>
  </sheetViews>
  <sheetFormatPr defaultRowHeight="13.2"/>
  <cols>
    <col min="1" max="21" width="8.88671875" style="78"/>
  </cols>
  <sheetData>
    <row r="1" spans="1:34">
      <c r="W1" t="s">
        <v>3661</v>
      </c>
      <c r="AD1" t="s">
        <v>3662</v>
      </c>
    </row>
    <row r="2" spans="1:34">
      <c r="A2" s="78" t="s">
        <v>3654</v>
      </c>
      <c r="B2" s="78" t="s">
        <v>3655</v>
      </c>
      <c r="C2" s="78" t="s">
        <v>3656</v>
      </c>
      <c r="D2" s="78" t="s">
        <v>3657</v>
      </c>
      <c r="E2" s="78" t="s">
        <v>3663</v>
      </c>
      <c r="F2" s="78" t="s">
        <v>3664</v>
      </c>
      <c r="G2" s="78" t="s">
        <v>3655</v>
      </c>
      <c r="H2" s="78" t="s">
        <v>3656</v>
      </c>
      <c r="I2" s="78" t="s">
        <v>3657</v>
      </c>
      <c r="J2" s="78" t="s">
        <v>3663</v>
      </c>
      <c r="K2" s="78" t="s">
        <v>3664</v>
      </c>
      <c r="L2" s="470" t="s">
        <v>3655</v>
      </c>
      <c r="M2" s="470" t="s">
        <v>3656</v>
      </c>
      <c r="N2" s="470" t="s">
        <v>3657</v>
      </c>
      <c r="O2" s="470" t="s">
        <v>3663</v>
      </c>
      <c r="P2" s="470" t="s">
        <v>3664</v>
      </c>
      <c r="W2" t="s">
        <v>5</v>
      </c>
      <c r="X2" t="s">
        <v>3575</v>
      </c>
      <c r="Y2" t="s">
        <v>3576</v>
      </c>
      <c r="Z2" t="s">
        <v>3659</v>
      </c>
      <c r="AA2" t="s">
        <v>3660</v>
      </c>
      <c r="AD2" t="s">
        <v>5</v>
      </c>
      <c r="AE2" t="s">
        <v>3575</v>
      </c>
      <c r="AF2" t="s">
        <v>3576</v>
      </c>
      <c r="AG2" t="s">
        <v>3659</v>
      </c>
      <c r="AH2" t="s">
        <v>3660</v>
      </c>
    </row>
    <row r="3" spans="1:34">
      <c r="A3" s="78">
        <v>1975</v>
      </c>
      <c r="B3" s="78" t="s">
        <v>3658</v>
      </c>
      <c r="C3" s="467">
        <v>0.3155</v>
      </c>
      <c r="D3" s="467">
        <v>0.29759999999999998</v>
      </c>
      <c r="E3" s="467"/>
      <c r="F3" s="467"/>
      <c r="G3" s="467"/>
      <c r="H3" s="467"/>
      <c r="I3" s="467"/>
      <c r="J3" s="467"/>
      <c r="K3" s="467"/>
      <c r="L3" s="471"/>
      <c r="M3" s="471"/>
      <c r="N3" s="471"/>
      <c r="O3" s="471"/>
      <c r="P3" s="471"/>
      <c r="Q3" s="467"/>
      <c r="R3" s="467"/>
      <c r="S3" s="467"/>
      <c r="T3" s="467"/>
      <c r="U3" s="467"/>
      <c r="W3">
        <v>1987</v>
      </c>
      <c r="X3">
        <v>900.82</v>
      </c>
      <c r="Y3">
        <v>648.17999999999995</v>
      </c>
      <c r="Z3">
        <v>-252.69</v>
      </c>
      <c r="AA3" s="76">
        <v>-0.28050000000000003</v>
      </c>
      <c r="AD3">
        <v>1987</v>
      </c>
      <c r="AE3">
        <v>2568.3000000000002</v>
      </c>
      <c r="AF3">
        <v>2302.8000000000002</v>
      </c>
      <c r="AG3">
        <v>-265.5</v>
      </c>
      <c r="AH3" s="76">
        <v>-0.10340000000000001</v>
      </c>
    </row>
    <row r="4" spans="1:34">
      <c r="A4" s="78">
        <v>1976</v>
      </c>
      <c r="B4" s="467">
        <v>0.17860000000000001</v>
      </c>
      <c r="C4" s="467">
        <v>0.1915</v>
      </c>
      <c r="D4" s="467">
        <v>0.26100000000000001</v>
      </c>
      <c r="E4" s="467"/>
      <c r="F4" s="467"/>
      <c r="G4" s="467"/>
      <c r="H4" s="467"/>
      <c r="I4" s="467"/>
      <c r="J4" s="467"/>
      <c r="K4" s="467"/>
      <c r="L4" s="471"/>
      <c r="M4" s="471"/>
      <c r="N4" s="471"/>
      <c r="O4" s="471"/>
      <c r="P4" s="471"/>
      <c r="Q4" s="467"/>
      <c r="R4" s="467"/>
      <c r="S4" s="467"/>
      <c r="T4" s="467"/>
      <c r="U4" s="467"/>
      <c r="W4">
        <v>1988</v>
      </c>
      <c r="X4">
        <v>648.17999999999995</v>
      </c>
      <c r="Y4">
        <v>861.36</v>
      </c>
      <c r="Z4">
        <v>213.23</v>
      </c>
      <c r="AA4" s="76">
        <v>0.32900000000000001</v>
      </c>
      <c r="AD4">
        <v>1988</v>
      </c>
      <c r="AE4">
        <v>2302.8000000000002</v>
      </c>
      <c r="AF4">
        <v>2687.4</v>
      </c>
      <c r="AG4">
        <v>384.6</v>
      </c>
      <c r="AH4" s="76">
        <v>0.16700000000000001</v>
      </c>
    </row>
    <row r="5" spans="1:34">
      <c r="A5" s="78">
        <v>1977</v>
      </c>
      <c r="B5" s="467">
        <v>-0.17269999999999999</v>
      </c>
      <c r="C5" s="467">
        <v>-0.115</v>
      </c>
      <c r="D5" s="467">
        <v>7.3300000000000004E-2</v>
      </c>
      <c r="E5" s="467"/>
      <c r="F5" s="467"/>
      <c r="G5" s="467"/>
      <c r="H5" s="467"/>
      <c r="I5" s="467"/>
      <c r="J5" s="467"/>
      <c r="K5" s="467"/>
      <c r="L5" s="471"/>
      <c r="M5" s="471"/>
      <c r="N5" s="471"/>
      <c r="O5" s="471"/>
      <c r="P5" s="471"/>
      <c r="Q5" s="467"/>
      <c r="R5" s="467"/>
      <c r="S5" s="467"/>
      <c r="T5" s="467"/>
      <c r="U5" s="467"/>
      <c r="W5">
        <v>1989</v>
      </c>
      <c r="X5">
        <v>861.36</v>
      </c>
      <c r="Y5">
        <v>1098.49</v>
      </c>
      <c r="Z5">
        <v>237.13</v>
      </c>
      <c r="AA5" s="76">
        <v>0.27529999999999999</v>
      </c>
      <c r="AD5">
        <v>1989</v>
      </c>
      <c r="AE5">
        <v>2687.4</v>
      </c>
      <c r="AF5">
        <v>2836.6</v>
      </c>
      <c r="AG5">
        <v>149.19999999999999</v>
      </c>
      <c r="AH5" s="76">
        <v>5.5500000000000001E-2</v>
      </c>
    </row>
    <row r="6" spans="1:34">
      <c r="A6" s="78">
        <v>1978</v>
      </c>
      <c r="B6" s="467">
        <v>-3.15E-2</v>
      </c>
      <c r="C6" s="467">
        <v>1.7100000000000001E-2</v>
      </c>
      <c r="D6" s="467">
        <v>0.1231</v>
      </c>
      <c r="E6" s="467"/>
      <c r="F6" s="467"/>
      <c r="G6" s="467"/>
      <c r="H6" s="467"/>
      <c r="I6" s="467"/>
      <c r="J6" s="467"/>
      <c r="K6" s="467"/>
      <c r="L6" s="471"/>
      <c r="M6" s="471"/>
      <c r="N6" s="471"/>
      <c r="O6" s="471"/>
      <c r="P6" s="471"/>
      <c r="Q6" s="467"/>
      <c r="R6" s="467"/>
      <c r="S6" s="467"/>
      <c r="T6" s="467"/>
      <c r="U6" s="467"/>
      <c r="W6">
        <v>1990</v>
      </c>
      <c r="X6">
        <v>1098.49</v>
      </c>
      <c r="Y6">
        <v>858.72</v>
      </c>
      <c r="Z6">
        <v>-239.77</v>
      </c>
      <c r="AA6" s="76">
        <v>-0.21829999999999999</v>
      </c>
      <c r="AD6">
        <v>1990</v>
      </c>
      <c r="AE6">
        <v>2836.6</v>
      </c>
      <c r="AF6">
        <v>3024</v>
      </c>
      <c r="AG6">
        <v>187.4</v>
      </c>
      <c r="AH6" s="76">
        <v>6.6100000000000006E-2</v>
      </c>
    </row>
    <row r="7" spans="1:34">
      <c r="A7" s="78">
        <v>1979</v>
      </c>
      <c r="B7" s="467">
        <v>4.19E-2</v>
      </c>
      <c r="C7" s="467">
        <v>0.1159</v>
      </c>
      <c r="D7" s="467">
        <v>0.28110000000000002</v>
      </c>
      <c r="E7" s="467"/>
      <c r="F7" s="467"/>
      <c r="G7" s="467"/>
      <c r="H7" s="467"/>
      <c r="I7" s="467"/>
      <c r="J7" s="467"/>
      <c r="K7" s="467"/>
      <c r="L7" s="471"/>
      <c r="M7" s="471"/>
      <c r="N7" s="471"/>
      <c r="O7" s="471"/>
      <c r="P7" s="471"/>
      <c r="Q7" s="467"/>
      <c r="R7" s="467"/>
      <c r="S7" s="467"/>
      <c r="T7" s="467"/>
      <c r="U7" s="467"/>
      <c r="W7">
        <v>1991</v>
      </c>
      <c r="X7">
        <v>858.72</v>
      </c>
      <c r="Y7">
        <v>1000</v>
      </c>
      <c r="Z7">
        <v>141.28</v>
      </c>
      <c r="AA7" s="76">
        <v>0.16450000000000001</v>
      </c>
      <c r="AD7">
        <v>1991</v>
      </c>
      <c r="AE7">
        <v>3024</v>
      </c>
      <c r="AF7">
        <v>4297.3</v>
      </c>
      <c r="AG7">
        <v>1273.3</v>
      </c>
      <c r="AH7" s="76">
        <v>0.42109999999999997</v>
      </c>
    </row>
    <row r="8" spans="1:34">
      <c r="A8" s="78">
        <v>1980</v>
      </c>
      <c r="B8" s="467">
        <v>0.14929999999999999</v>
      </c>
      <c r="C8" s="467">
        <v>0.25769999999999998</v>
      </c>
      <c r="D8" s="467">
        <v>0.33879999999999999</v>
      </c>
      <c r="E8" s="467"/>
      <c r="F8" s="467"/>
      <c r="G8" s="467"/>
      <c r="H8" s="467"/>
      <c r="I8" s="467"/>
      <c r="J8" s="467"/>
      <c r="K8" s="467"/>
      <c r="L8" s="471" t="s">
        <v>3583</v>
      </c>
      <c r="M8" s="469">
        <v>0.13</v>
      </c>
      <c r="N8" s="471"/>
      <c r="O8" s="471"/>
      <c r="P8" s="471"/>
      <c r="Q8" s="467"/>
      <c r="R8" s="467"/>
      <c r="S8" s="467"/>
      <c r="T8" s="467"/>
      <c r="U8" s="467"/>
      <c r="W8">
        <v>1992</v>
      </c>
      <c r="X8">
        <v>1000</v>
      </c>
      <c r="Y8">
        <v>1033.51</v>
      </c>
      <c r="Z8">
        <v>33.51</v>
      </c>
      <c r="AA8" s="76">
        <v>3.3500000000000002E-2</v>
      </c>
      <c r="AD8">
        <v>1992</v>
      </c>
      <c r="AE8">
        <v>4297.3</v>
      </c>
      <c r="AF8">
        <v>5512.4</v>
      </c>
      <c r="AG8">
        <v>1215.0999999999999</v>
      </c>
      <c r="AH8" s="76">
        <v>0.2828</v>
      </c>
    </row>
    <row r="9" spans="1:34">
      <c r="A9" s="78">
        <v>1981</v>
      </c>
      <c r="B9" s="467">
        <v>-9.2299999999999993E-2</v>
      </c>
      <c r="C9" s="467">
        <v>-9.7299999999999998E-2</v>
      </c>
      <c r="D9" s="467">
        <v>-3.2099999999999997E-2</v>
      </c>
      <c r="E9" s="467"/>
      <c r="F9" s="467"/>
      <c r="G9" s="467"/>
      <c r="H9" s="467"/>
      <c r="I9" s="467"/>
      <c r="J9" s="467"/>
      <c r="K9" s="467"/>
      <c r="L9" s="471" t="s">
        <v>3584</v>
      </c>
      <c r="M9" s="469">
        <v>0</v>
      </c>
      <c r="N9" s="471"/>
      <c r="O9" s="471"/>
      <c r="P9" s="471"/>
      <c r="Q9" s="467"/>
      <c r="R9" s="467"/>
      <c r="S9" s="467"/>
      <c r="T9" s="467"/>
      <c r="U9" s="467"/>
      <c r="W9">
        <v>1993</v>
      </c>
      <c r="X9">
        <v>1033.51</v>
      </c>
      <c r="Y9">
        <v>1433.34</v>
      </c>
      <c r="Z9">
        <v>399.83</v>
      </c>
      <c r="AA9" s="76">
        <v>0.38690000000000002</v>
      </c>
      <c r="AD9">
        <v>1993</v>
      </c>
      <c r="AE9">
        <v>5512.4</v>
      </c>
      <c r="AF9">
        <v>11888.4</v>
      </c>
      <c r="AG9">
        <v>6376</v>
      </c>
      <c r="AH9" s="76">
        <v>1.1567000000000001</v>
      </c>
    </row>
    <row r="10" spans="1:34">
      <c r="A10" s="78">
        <v>1982</v>
      </c>
      <c r="B10" s="467">
        <v>0.1961</v>
      </c>
      <c r="C10" s="467">
        <v>0.14760000000000001</v>
      </c>
      <c r="D10" s="467">
        <v>0.1867</v>
      </c>
      <c r="E10" s="467"/>
      <c r="F10" s="467"/>
      <c r="G10" s="467"/>
      <c r="H10" s="467"/>
      <c r="I10" s="467"/>
      <c r="J10" s="467"/>
      <c r="K10" s="467"/>
      <c r="L10" s="471" t="s">
        <v>3665</v>
      </c>
      <c r="M10" s="469">
        <v>0.01</v>
      </c>
      <c r="N10" s="471"/>
      <c r="O10" s="471"/>
      <c r="P10" s="471"/>
      <c r="Q10" s="467"/>
      <c r="R10" s="467"/>
      <c r="S10" s="467"/>
      <c r="T10" s="467"/>
      <c r="U10" s="467"/>
      <c r="W10">
        <v>1994</v>
      </c>
      <c r="X10">
        <v>1433.34</v>
      </c>
      <c r="Y10">
        <v>1320.59</v>
      </c>
      <c r="Z10">
        <v>-112.75</v>
      </c>
      <c r="AA10" s="76">
        <v>-7.8700000000000006E-2</v>
      </c>
      <c r="AD10">
        <v>1994</v>
      </c>
      <c r="AE10">
        <v>11888.4</v>
      </c>
      <c r="AF10">
        <v>8191</v>
      </c>
      <c r="AG10">
        <v>-3697.4</v>
      </c>
      <c r="AH10" s="76">
        <v>-0.311</v>
      </c>
    </row>
    <row r="11" spans="1:34">
      <c r="A11" s="78">
        <v>1983</v>
      </c>
      <c r="B11" s="467">
        <v>0.20269999999999999</v>
      </c>
      <c r="C11" s="467">
        <v>0.17269999999999999</v>
      </c>
      <c r="D11" s="467">
        <v>0.19869999999999999</v>
      </c>
      <c r="E11" s="467"/>
      <c r="F11" s="467"/>
      <c r="G11" s="467"/>
      <c r="H11" s="467"/>
      <c r="I11" s="467"/>
      <c r="J11" s="467"/>
      <c r="K11" s="467"/>
      <c r="L11" s="471"/>
      <c r="M11" s="471"/>
      <c r="N11" s="471"/>
      <c r="O11" s="471"/>
      <c r="P11" s="471"/>
      <c r="Q11" s="467"/>
      <c r="R11" s="467"/>
      <c r="S11" s="467"/>
      <c r="T11" s="467"/>
      <c r="U11" s="467"/>
      <c r="W11">
        <v>1995</v>
      </c>
      <c r="X11">
        <v>1320.59</v>
      </c>
      <c r="Y11">
        <v>1506.82</v>
      </c>
      <c r="Z11">
        <v>186.23</v>
      </c>
      <c r="AA11" s="76">
        <v>0.14099999999999999</v>
      </c>
      <c r="AD11">
        <v>1995</v>
      </c>
      <c r="AE11">
        <v>8191</v>
      </c>
      <c r="AF11">
        <v>10073.4</v>
      </c>
      <c r="AG11">
        <v>1882.4</v>
      </c>
      <c r="AH11" s="76">
        <v>0.2298</v>
      </c>
    </row>
    <row r="12" spans="1:34">
      <c r="A12" s="78">
        <v>1984</v>
      </c>
      <c r="B12" s="467">
        <v>-3.7400000000000003E-2</v>
      </c>
      <c r="C12" s="467">
        <v>1.4E-2</v>
      </c>
      <c r="D12" s="467">
        <v>-0.11219999999999999</v>
      </c>
      <c r="E12" s="467"/>
      <c r="F12" s="467"/>
      <c r="G12" s="467"/>
      <c r="H12" s="467"/>
      <c r="I12" s="467"/>
      <c r="J12" s="467"/>
      <c r="K12" s="467"/>
      <c r="L12" s="471"/>
      <c r="M12" s="471"/>
      <c r="N12" s="471"/>
      <c r="O12" s="471"/>
      <c r="P12" s="471"/>
      <c r="Q12" s="467"/>
      <c r="R12" s="467"/>
      <c r="S12" s="467"/>
      <c r="T12" s="467"/>
      <c r="U12" s="467"/>
      <c r="W12">
        <v>1996</v>
      </c>
      <c r="X12">
        <v>1506.82</v>
      </c>
      <c r="Y12">
        <v>1850.32</v>
      </c>
      <c r="Z12">
        <v>343.5</v>
      </c>
      <c r="AA12" s="76">
        <v>0.22800000000000001</v>
      </c>
      <c r="AD12">
        <v>1996</v>
      </c>
      <c r="AE12">
        <v>10073.4</v>
      </c>
      <c r="AF12">
        <v>13451.5</v>
      </c>
      <c r="AG12">
        <v>3378.1</v>
      </c>
      <c r="AH12" s="76">
        <v>0.33529999999999999</v>
      </c>
    </row>
    <row r="13" spans="1:34">
      <c r="A13" s="78">
        <v>1985</v>
      </c>
      <c r="B13" s="467">
        <v>0.27660000000000001</v>
      </c>
      <c r="C13" s="467">
        <v>0.26329999999999998</v>
      </c>
      <c r="D13" s="467">
        <v>0.31359999999999999</v>
      </c>
      <c r="E13" s="467"/>
      <c r="F13" s="467"/>
      <c r="G13" s="467"/>
      <c r="H13" s="467"/>
      <c r="I13" s="467"/>
      <c r="J13" s="467"/>
      <c r="K13" s="467"/>
      <c r="L13" s="471"/>
      <c r="M13" s="471"/>
      <c r="N13" s="471"/>
      <c r="O13" s="471"/>
      <c r="P13" s="471"/>
      <c r="Q13" s="467"/>
      <c r="R13" s="467"/>
      <c r="S13" s="467"/>
      <c r="T13" s="467"/>
      <c r="U13" s="467"/>
      <c r="W13">
        <v>1997</v>
      </c>
      <c r="X13">
        <v>1850.32</v>
      </c>
      <c r="Y13">
        <v>2531.9899999999998</v>
      </c>
      <c r="Z13">
        <v>681.67</v>
      </c>
      <c r="AA13" s="76">
        <v>0.36840000000000001</v>
      </c>
      <c r="AD13">
        <v>1997</v>
      </c>
      <c r="AE13">
        <v>13451.5</v>
      </c>
      <c r="AF13">
        <v>10722.8</v>
      </c>
      <c r="AG13">
        <v>-2728.7</v>
      </c>
      <c r="AH13" s="76">
        <v>-0.2029</v>
      </c>
    </row>
    <row r="14" spans="1:34">
      <c r="A14" s="78">
        <v>1986</v>
      </c>
      <c r="B14" s="467">
        <v>0.2258</v>
      </c>
      <c r="C14" s="467">
        <v>0.1462</v>
      </c>
      <c r="D14" s="467">
        <v>7.3599999999999999E-2</v>
      </c>
      <c r="E14" s="467"/>
      <c r="F14" s="467"/>
      <c r="G14" s="468">
        <v>1</v>
      </c>
      <c r="H14" s="468">
        <v>1</v>
      </c>
      <c r="I14" s="468">
        <v>1</v>
      </c>
      <c r="J14" s="468">
        <v>1</v>
      </c>
      <c r="K14" s="468">
        <v>1</v>
      </c>
      <c r="L14" s="472">
        <v>1</v>
      </c>
      <c r="M14" s="472">
        <v>1</v>
      </c>
      <c r="N14" s="472">
        <v>1</v>
      </c>
      <c r="O14" s="472">
        <v>1</v>
      </c>
      <c r="P14" s="472">
        <v>1</v>
      </c>
      <c r="Q14" s="467"/>
      <c r="R14" s="467"/>
      <c r="S14" s="467"/>
      <c r="T14" s="467"/>
      <c r="U14" s="467"/>
      <c r="W14">
        <v>1998</v>
      </c>
      <c r="X14">
        <v>2531.9899999999998</v>
      </c>
      <c r="Y14">
        <v>3342.32</v>
      </c>
      <c r="Z14">
        <v>810.33</v>
      </c>
      <c r="AA14" s="76">
        <v>0.32</v>
      </c>
      <c r="AD14">
        <v>1998</v>
      </c>
      <c r="AE14">
        <v>10722.8</v>
      </c>
      <c r="AF14">
        <v>10048.58</v>
      </c>
      <c r="AG14">
        <v>-674.22</v>
      </c>
      <c r="AH14" s="76">
        <v>-6.2899999999999998E-2</v>
      </c>
    </row>
    <row r="15" spans="1:34">
      <c r="A15" s="78">
        <v>1987</v>
      </c>
      <c r="B15" s="467">
        <v>2.2599999999999999E-2</v>
      </c>
      <c r="C15" s="467">
        <v>2.0299999999999999E-2</v>
      </c>
      <c r="D15" s="467">
        <v>-5.2600000000000001E-2</v>
      </c>
      <c r="E15" s="467">
        <f>AA3</f>
        <v>-0.28050000000000003</v>
      </c>
      <c r="F15" s="467">
        <f>AH3</f>
        <v>-0.10340000000000001</v>
      </c>
      <c r="G15" s="468">
        <f>G14*(1+B15)</f>
        <v>1.0226</v>
      </c>
      <c r="H15" s="468">
        <f t="shared" ref="H15:K15" si="0">H14*(1+C15)</f>
        <v>1.0203</v>
      </c>
      <c r="I15" s="468">
        <f t="shared" si="0"/>
        <v>0.94740000000000002</v>
      </c>
      <c r="J15" s="468">
        <f t="shared" si="0"/>
        <v>0.71950000000000003</v>
      </c>
      <c r="K15" s="468">
        <f t="shared" si="0"/>
        <v>0.89659999999999995</v>
      </c>
      <c r="L15" s="473">
        <f>L14*(1+(MIN(MAX($M$9,B15),$M$8)-$M$10))</f>
        <v>1.0125999999999999</v>
      </c>
      <c r="M15" s="473">
        <f t="shared" ref="M15:P15" si="1">M14*(1+(MIN(MAX($M$9,C15),$M$8)-$M$10))</f>
        <v>1.0103</v>
      </c>
      <c r="N15" s="473">
        <f t="shared" si="1"/>
        <v>0.99</v>
      </c>
      <c r="O15" s="473">
        <f t="shared" si="1"/>
        <v>0.99</v>
      </c>
      <c r="P15" s="473">
        <f t="shared" si="1"/>
        <v>0.99</v>
      </c>
      <c r="Q15" s="467"/>
      <c r="R15" s="467"/>
      <c r="S15" s="467"/>
      <c r="T15" s="467"/>
      <c r="U15" s="467"/>
      <c r="W15">
        <v>1999</v>
      </c>
      <c r="X15">
        <v>3342.32</v>
      </c>
      <c r="Y15">
        <v>4904.46</v>
      </c>
      <c r="Z15">
        <v>1562.14</v>
      </c>
      <c r="AA15" s="76">
        <v>0.46739999999999998</v>
      </c>
      <c r="AD15">
        <v>1999</v>
      </c>
      <c r="AE15">
        <v>10048.58</v>
      </c>
      <c r="AF15">
        <v>16962.099999999999</v>
      </c>
      <c r="AG15">
        <v>6913.52</v>
      </c>
      <c r="AH15" s="76">
        <v>0.68799999999999994</v>
      </c>
    </row>
    <row r="16" spans="1:34">
      <c r="A16" s="78">
        <v>1988</v>
      </c>
      <c r="B16" s="467">
        <v>0.11849999999999999</v>
      </c>
      <c r="C16" s="467">
        <v>0.124</v>
      </c>
      <c r="D16" s="467">
        <v>0.15409999999999999</v>
      </c>
      <c r="E16" s="467">
        <f t="shared" ref="E16:E46" si="2">AA4</f>
        <v>0.32900000000000001</v>
      </c>
      <c r="F16" s="467">
        <f t="shared" ref="F16:F46" si="3">AH4</f>
        <v>0.16700000000000001</v>
      </c>
      <c r="G16" s="468">
        <f t="shared" ref="G16:G46" si="4">G15*(1+B16)</f>
        <v>1.1437781</v>
      </c>
      <c r="H16" s="468">
        <f t="shared" ref="H16:H46" si="5">H15*(1+C16)</f>
        <v>1.1468172000000001</v>
      </c>
      <c r="I16" s="468">
        <f t="shared" ref="I16:I46" si="6">I15*(1+D16)</f>
        <v>1.0933943399999999</v>
      </c>
      <c r="J16" s="468">
        <f t="shared" ref="J16:J46" si="7">J15*(1+E16)</f>
        <v>0.9562155</v>
      </c>
      <c r="K16" s="468">
        <f t="shared" ref="K16:K46" si="8">K15*(1+F16)</f>
        <v>1.0463321999999999</v>
      </c>
      <c r="L16" s="473">
        <f t="shared" ref="L16:L46" si="9">L15*(1+(MIN(MAX($M$9,B16),$M$8)-$M$10))</f>
        <v>1.1224670999999999</v>
      </c>
      <c r="M16" s="473">
        <f t="shared" ref="M16:M46" si="10">M15*(1+(MIN(MAX($M$9,C16),$M$8)-$M$10))</f>
        <v>1.1254742</v>
      </c>
      <c r="N16" s="473">
        <f t="shared" ref="N16:N46" si="11">N15*(1+(MIN(MAX($M$9,D16),$M$8)-$M$10))</f>
        <v>1.1088</v>
      </c>
      <c r="O16" s="473">
        <f t="shared" ref="O16:O46" si="12">O15*(1+(MIN(MAX($M$9,E16),$M$8)-$M$10))</f>
        <v>1.1088</v>
      </c>
      <c r="P16" s="473">
        <f t="shared" ref="P16:P46" si="13">P15*(1+(MIN(MAX($M$9,F16),$M$8)-$M$10))</f>
        <v>1.1088</v>
      </c>
      <c r="Q16" s="467"/>
      <c r="R16" s="467"/>
      <c r="S16" s="467"/>
      <c r="T16" s="467"/>
      <c r="U16" s="467"/>
      <c r="W16">
        <v>2000</v>
      </c>
      <c r="X16">
        <v>4904.46</v>
      </c>
      <c r="Y16">
        <v>4772.3900000000003</v>
      </c>
      <c r="Z16">
        <v>-132.07</v>
      </c>
      <c r="AA16" s="76">
        <v>-2.69E-2</v>
      </c>
      <c r="AD16">
        <v>2000</v>
      </c>
      <c r="AE16">
        <v>16962.099999999999</v>
      </c>
      <c r="AF16">
        <v>15095.53</v>
      </c>
      <c r="AG16">
        <v>-1866.57</v>
      </c>
      <c r="AH16" s="76">
        <v>-0.11</v>
      </c>
    </row>
    <row r="17" spans="1:34">
      <c r="A17" s="78">
        <v>1989</v>
      </c>
      <c r="B17" s="467">
        <v>0.26960000000000001</v>
      </c>
      <c r="C17" s="467">
        <v>0.27250000000000002</v>
      </c>
      <c r="D17" s="467">
        <v>0.19259999999999999</v>
      </c>
      <c r="E17" s="467">
        <f t="shared" si="2"/>
        <v>0.27529999999999999</v>
      </c>
      <c r="F17" s="467">
        <f t="shared" si="3"/>
        <v>5.5500000000000001E-2</v>
      </c>
      <c r="G17" s="468">
        <f t="shared" si="4"/>
        <v>1.4521406757600002</v>
      </c>
      <c r="H17" s="468">
        <f t="shared" si="5"/>
        <v>1.4593248870000002</v>
      </c>
      <c r="I17" s="468">
        <f t="shared" si="6"/>
        <v>1.303982089884</v>
      </c>
      <c r="J17" s="468">
        <f t="shared" si="7"/>
        <v>1.2194616271500001</v>
      </c>
      <c r="K17" s="468">
        <f t="shared" si="8"/>
        <v>1.1044036371000001</v>
      </c>
      <c r="L17" s="473">
        <f t="shared" si="9"/>
        <v>1.257163152</v>
      </c>
      <c r="M17" s="473">
        <f t="shared" si="10"/>
        <v>1.260531104</v>
      </c>
      <c r="N17" s="473">
        <f t="shared" si="11"/>
        <v>1.2418560000000001</v>
      </c>
      <c r="O17" s="473">
        <f t="shared" si="12"/>
        <v>1.2418560000000001</v>
      </c>
      <c r="P17" s="473">
        <f t="shared" si="13"/>
        <v>1.1592504000000001</v>
      </c>
      <c r="Q17" s="467"/>
      <c r="R17" s="467"/>
      <c r="S17" s="467"/>
      <c r="T17" s="467"/>
      <c r="U17" s="467"/>
      <c r="W17">
        <v>2001</v>
      </c>
      <c r="X17">
        <v>4772.3900000000003</v>
      </c>
      <c r="Y17">
        <v>3806.13</v>
      </c>
      <c r="Z17">
        <v>-966.26</v>
      </c>
      <c r="AA17" s="76">
        <v>-0.20250000000000001</v>
      </c>
      <c r="AD17">
        <v>2001</v>
      </c>
      <c r="AE17">
        <v>15095.53</v>
      </c>
      <c r="AF17">
        <v>11397.21</v>
      </c>
      <c r="AG17">
        <v>-3698.32</v>
      </c>
      <c r="AH17" s="76">
        <v>-0.245</v>
      </c>
    </row>
    <row r="18" spans="1:34">
      <c r="A18" s="78">
        <v>1990</v>
      </c>
      <c r="B18" s="467">
        <v>-4.3400000000000001E-2</v>
      </c>
      <c r="C18" s="467">
        <v>-6.5600000000000006E-2</v>
      </c>
      <c r="D18" s="467">
        <v>-0.17799999999999999</v>
      </c>
      <c r="E18" s="467">
        <f t="shared" si="2"/>
        <v>-0.21829999999999999</v>
      </c>
      <c r="F18" s="467">
        <f t="shared" si="3"/>
        <v>6.6100000000000006E-2</v>
      </c>
      <c r="G18" s="468">
        <f t="shared" si="4"/>
        <v>1.3891177704320161</v>
      </c>
      <c r="H18" s="468">
        <f t="shared" si="5"/>
        <v>1.3635931744128003</v>
      </c>
      <c r="I18" s="468">
        <f t="shared" si="6"/>
        <v>1.071873277884648</v>
      </c>
      <c r="J18" s="468">
        <f t="shared" si="7"/>
        <v>0.95325315394315513</v>
      </c>
      <c r="K18" s="468">
        <f t="shared" si="8"/>
        <v>1.1774047175123101</v>
      </c>
      <c r="L18" s="473">
        <f t="shared" si="9"/>
        <v>1.24459152048</v>
      </c>
      <c r="M18" s="473">
        <f t="shared" si="10"/>
        <v>1.2479257929600001</v>
      </c>
      <c r="N18" s="473">
        <f t="shared" si="11"/>
        <v>1.2294374400000001</v>
      </c>
      <c r="O18" s="473">
        <f t="shared" si="12"/>
        <v>1.2294374400000001</v>
      </c>
      <c r="P18" s="473">
        <f t="shared" si="13"/>
        <v>1.2242843474400003</v>
      </c>
      <c r="Q18" s="467"/>
      <c r="R18" s="467"/>
      <c r="S18" s="467"/>
      <c r="T18" s="467"/>
      <c r="U18" s="467"/>
      <c r="W18">
        <v>2002</v>
      </c>
      <c r="X18">
        <v>3806.13</v>
      </c>
      <c r="Y18">
        <v>2386.41</v>
      </c>
      <c r="Z18">
        <v>-1419.72</v>
      </c>
      <c r="AA18" s="76">
        <v>-0.373</v>
      </c>
      <c r="AD18">
        <v>2002</v>
      </c>
      <c r="AE18">
        <v>11397.21</v>
      </c>
      <c r="AF18">
        <v>9321.2900000000009</v>
      </c>
      <c r="AG18">
        <v>-2075.92</v>
      </c>
      <c r="AH18" s="76">
        <v>-0.18210000000000001</v>
      </c>
    </row>
    <row r="19" spans="1:34">
      <c r="A19" s="78">
        <v>1991</v>
      </c>
      <c r="B19" s="467">
        <v>0.20319999999999999</v>
      </c>
      <c r="C19" s="467">
        <v>0.2631</v>
      </c>
      <c r="D19" s="467">
        <v>0.56840000000000002</v>
      </c>
      <c r="E19" s="467">
        <f t="shared" si="2"/>
        <v>0.16450000000000001</v>
      </c>
      <c r="F19" s="467">
        <f t="shared" si="3"/>
        <v>0.42109999999999997</v>
      </c>
      <c r="G19" s="468">
        <f t="shared" si="4"/>
        <v>1.6713865013838018</v>
      </c>
      <c r="H19" s="468">
        <f t="shared" si="5"/>
        <v>1.7223545386008081</v>
      </c>
      <c r="I19" s="468">
        <f t="shared" si="6"/>
        <v>1.6811260490342821</v>
      </c>
      <c r="J19" s="468">
        <f t="shared" si="7"/>
        <v>1.1100632977668041</v>
      </c>
      <c r="K19" s="468">
        <f t="shared" si="8"/>
        <v>1.673209844056744</v>
      </c>
      <c r="L19" s="473">
        <f t="shared" si="9"/>
        <v>1.3939425029376</v>
      </c>
      <c r="M19" s="473">
        <f t="shared" si="10"/>
        <v>1.3976768881152002</v>
      </c>
      <c r="N19" s="473">
        <f t="shared" si="11"/>
        <v>1.3769699328000002</v>
      </c>
      <c r="O19" s="473">
        <f t="shared" si="12"/>
        <v>1.3769699328000002</v>
      </c>
      <c r="P19" s="473">
        <f t="shared" si="13"/>
        <v>1.3711984691328005</v>
      </c>
      <c r="Q19" s="467"/>
      <c r="R19" s="467"/>
      <c r="S19" s="467"/>
      <c r="T19" s="467"/>
      <c r="U19" s="467"/>
      <c r="W19">
        <v>2003</v>
      </c>
      <c r="X19">
        <v>2386.41</v>
      </c>
      <c r="Y19">
        <v>2760.66</v>
      </c>
      <c r="Z19">
        <v>374.25</v>
      </c>
      <c r="AA19" s="76">
        <v>0.15679999999999999</v>
      </c>
      <c r="AD19">
        <v>2003</v>
      </c>
      <c r="AE19">
        <v>9321.2900000000009</v>
      </c>
      <c r="AF19">
        <v>12575.94</v>
      </c>
      <c r="AG19">
        <v>3254.65</v>
      </c>
      <c r="AH19" s="76">
        <v>0.34920000000000001</v>
      </c>
    </row>
    <row r="20" spans="1:34">
      <c r="A20" s="78">
        <v>1992</v>
      </c>
      <c r="B20" s="467">
        <v>4.1700000000000001E-2</v>
      </c>
      <c r="C20" s="467">
        <v>4.4600000000000001E-2</v>
      </c>
      <c r="D20" s="467">
        <v>0.1545</v>
      </c>
      <c r="E20" s="467">
        <f t="shared" si="2"/>
        <v>3.3500000000000002E-2</v>
      </c>
      <c r="F20" s="467">
        <f t="shared" si="3"/>
        <v>0.2828</v>
      </c>
      <c r="G20" s="468">
        <f t="shared" si="4"/>
        <v>1.7410833184915064</v>
      </c>
      <c r="H20" s="468">
        <f t="shared" si="5"/>
        <v>1.799171551022404</v>
      </c>
      <c r="I20" s="468">
        <f t="shared" si="6"/>
        <v>1.9408600236100788</v>
      </c>
      <c r="J20" s="468">
        <f t="shared" si="7"/>
        <v>1.1472504182419923</v>
      </c>
      <c r="K20" s="468">
        <f t="shared" si="8"/>
        <v>2.1463935879559912</v>
      </c>
      <c r="L20" s="473">
        <f t="shared" si="9"/>
        <v>1.438130480280722</v>
      </c>
      <c r="M20" s="473">
        <f t="shared" si="10"/>
        <v>1.4460365084439861</v>
      </c>
      <c r="N20" s="473">
        <f t="shared" si="11"/>
        <v>1.5422063247360005</v>
      </c>
      <c r="O20" s="473">
        <f t="shared" si="12"/>
        <v>1.4093287262208003</v>
      </c>
      <c r="P20" s="473">
        <f t="shared" si="13"/>
        <v>1.5357422854287368</v>
      </c>
      <c r="Q20" s="467"/>
      <c r="R20" s="467"/>
      <c r="S20" s="467"/>
      <c r="T20" s="467"/>
      <c r="U20" s="467"/>
      <c r="W20">
        <v>2004</v>
      </c>
      <c r="X20">
        <v>2760.66</v>
      </c>
      <c r="Y20">
        <v>2951.01</v>
      </c>
      <c r="Z20">
        <v>190.35</v>
      </c>
      <c r="AA20" s="76">
        <v>6.9000000000000006E-2</v>
      </c>
      <c r="AD20">
        <v>2004</v>
      </c>
      <c r="AE20">
        <v>12575.94</v>
      </c>
      <c r="AF20">
        <v>14230.14</v>
      </c>
      <c r="AG20">
        <v>1654.2</v>
      </c>
      <c r="AH20" s="76">
        <v>0.13150000000000001</v>
      </c>
    </row>
    <row r="21" spans="1:34">
      <c r="A21" s="78">
        <v>1993</v>
      </c>
      <c r="B21" s="467">
        <v>0.13719999999999999</v>
      </c>
      <c r="C21" s="467">
        <v>7.0599999999999996E-2</v>
      </c>
      <c r="D21" s="467">
        <v>0.14749999999999999</v>
      </c>
      <c r="E21" s="467">
        <f t="shared" si="2"/>
        <v>0.38690000000000002</v>
      </c>
      <c r="F21" s="467">
        <f t="shared" si="3"/>
        <v>1.1567000000000001</v>
      </c>
      <c r="G21" s="468">
        <f t="shared" si="4"/>
        <v>1.9799599497885412</v>
      </c>
      <c r="H21" s="468">
        <f t="shared" si="5"/>
        <v>1.9261930625245858</v>
      </c>
      <c r="I21" s="468">
        <f t="shared" si="6"/>
        <v>2.2271368770925655</v>
      </c>
      <c r="J21" s="468">
        <f t="shared" si="7"/>
        <v>1.5911216050598191</v>
      </c>
      <c r="K21" s="468">
        <f t="shared" si="8"/>
        <v>4.6291270511446863</v>
      </c>
      <c r="L21" s="473">
        <f t="shared" si="9"/>
        <v>1.6107061379144088</v>
      </c>
      <c r="M21" s="473">
        <f t="shared" si="10"/>
        <v>1.5336663208556918</v>
      </c>
      <c r="N21" s="473">
        <f t="shared" si="11"/>
        <v>1.7272710837043208</v>
      </c>
      <c r="O21" s="473">
        <f t="shared" si="12"/>
        <v>1.5784481733672966</v>
      </c>
      <c r="P21" s="473">
        <f t="shared" si="13"/>
        <v>1.7200313596801853</v>
      </c>
      <c r="Q21" s="467"/>
      <c r="R21" s="467"/>
      <c r="S21" s="467"/>
      <c r="T21" s="467"/>
      <c r="U21" s="467"/>
      <c r="W21">
        <v>2005</v>
      </c>
      <c r="X21">
        <v>2951.01</v>
      </c>
      <c r="Y21">
        <v>3578.93</v>
      </c>
      <c r="Z21">
        <v>627.91999999999996</v>
      </c>
      <c r="AA21" s="76">
        <v>0.21279999999999999</v>
      </c>
      <c r="AD21">
        <v>2005</v>
      </c>
      <c r="AE21">
        <v>14230.14</v>
      </c>
      <c r="AF21">
        <v>14876.43</v>
      </c>
      <c r="AG21">
        <v>646.29</v>
      </c>
      <c r="AH21" s="76">
        <v>4.5400000000000003E-2</v>
      </c>
    </row>
    <row r="22" spans="1:34">
      <c r="A22" s="78">
        <v>1994</v>
      </c>
      <c r="B22" s="467">
        <v>2.1399999999999999E-2</v>
      </c>
      <c r="C22" s="467">
        <v>-1.54E-2</v>
      </c>
      <c r="D22" s="467">
        <v>-3.2000000000000001E-2</v>
      </c>
      <c r="E22" s="467">
        <f t="shared" si="2"/>
        <v>-7.8700000000000006E-2</v>
      </c>
      <c r="F22" s="467">
        <f t="shared" si="3"/>
        <v>-0.311</v>
      </c>
      <c r="G22" s="468">
        <f t="shared" si="4"/>
        <v>2.0223310927140163</v>
      </c>
      <c r="H22" s="468">
        <f t="shared" si="5"/>
        <v>1.8965296893617072</v>
      </c>
      <c r="I22" s="468">
        <f t="shared" si="6"/>
        <v>2.1558684970256032</v>
      </c>
      <c r="J22" s="468">
        <f t="shared" si="7"/>
        <v>1.4659003347416113</v>
      </c>
      <c r="K22" s="468">
        <f t="shared" si="8"/>
        <v>3.1894685382386889</v>
      </c>
      <c r="L22" s="473">
        <f t="shared" si="9"/>
        <v>1.6290681878866331</v>
      </c>
      <c r="M22" s="473">
        <f t="shared" si="10"/>
        <v>1.5183296576471348</v>
      </c>
      <c r="N22" s="473">
        <f t="shared" si="11"/>
        <v>1.7099983728672776</v>
      </c>
      <c r="O22" s="473">
        <f t="shared" si="12"/>
        <v>1.5626636916336236</v>
      </c>
      <c r="P22" s="473">
        <f t="shared" si="13"/>
        <v>1.7028310460833833</v>
      </c>
      <c r="Q22" s="467"/>
      <c r="R22" s="467"/>
      <c r="S22" s="467"/>
      <c r="T22" s="467"/>
      <c r="U22" s="467"/>
      <c r="W22">
        <v>2006</v>
      </c>
      <c r="X22">
        <v>3578.93</v>
      </c>
      <c r="Y22">
        <v>4119.9399999999996</v>
      </c>
      <c r="Z22">
        <v>541.01</v>
      </c>
      <c r="AA22" s="76">
        <v>0.1512</v>
      </c>
      <c r="AD22">
        <v>2006</v>
      </c>
      <c r="AE22">
        <v>14876.43</v>
      </c>
      <c r="AF22">
        <v>19964.72</v>
      </c>
      <c r="AG22">
        <v>5088.29</v>
      </c>
      <c r="AH22" s="76">
        <v>0.34200000000000003</v>
      </c>
    </row>
    <row r="23" spans="1:34">
      <c r="A23" s="78">
        <v>1995</v>
      </c>
      <c r="B23" s="467">
        <v>0.33450000000000002</v>
      </c>
      <c r="C23" s="467">
        <v>0.34110000000000001</v>
      </c>
      <c r="D23" s="467">
        <v>0.3992</v>
      </c>
      <c r="E23" s="467">
        <f t="shared" si="2"/>
        <v>0.14099999999999999</v>
      </c>
      <c r="F23" s="467">
        <f t="shared" si="3"/>
        <v>0.2298</v>
      </c>
      <c r="G23" s="468">
        <f t="shared" si="4"/>
        <v>2.6988008432268549</v>
      </c>
      <c r="H23" s="468">
        <f t="shared" si="5"/>
        <v>2.5434359664029853</v>
      </c>
      <c r="I23" s="468">
        <f t="shared" si="6"/>
        <v>3.0164912010382241</v>
      </c>
      <c r="J23" s="468">
        <f t="shared" si="7"/>
        <v>1.6725922819401786</v>
      </c>
      <c r="K23" s="468">
        <f t="shared" si="8"/>
        <v>3.9224084083259396</v>
      </c>
      <c r="L23" s="473">
        <f t="shared" si="9"/>
        <v>1.8245563704330292</v>
      </c>
      <c r="M23" s="473">
        <f t="shared" si="10"/>
        <v>1.7005292165647912</v>
      </c>
      <c r="N23" s="473">
        <f t="shared" si="11"/>
        <v>1.9151981776113511</v>
      </c>
      <c r="O23" s="473">
        <f t="shared" si="12"/>
        <v>1.7501833346296587</v>
      </c>
      <c r="P23" s="473">
        <f t="shared" si="13"/>
        <v>1.9071707716133894</v>
      </c>
      <c r="Q23" s="467"/>
      <c r="R23" s="467"/>
      <c r="S23" s="467"/>
      <c r="T23" s="467"/>
      <c r="U23" s="467"/>
      <c r="W23">
        <v>2007</v>
      </c>
      <c r="X23">
        <v>4119.9399999999996</v>
      </c>
      <c r="Y23">
        <v>4399.72</v>
      </c>
      <c r="Z23">
        <v>279.77999999999997</v>
      </c>
      <c r="AA23" s="76">
        <v>6.7900000000000002E-2</v>
      </c>
      <c r="AD23">
        <v>2007</v>
      </c>
      <c r="AE23">
        <v>19964.72</v>
      </c>
      <c r="AF23">
        <v>27812.65</v>
      </c>
      <c r="AG23">
        <v>7847.93</v>
      </c>
      <c r="AH23" s="76">
        <v>0.3931</v>
      </c>
    </row>
    <row r="24" spans="1:34">
      <c r="A24" s="78">
        <v>1996</v>
      </c>
      <c r="B24" s="467">
        <v>0.2601</v>
      </c>
      <c r="C24" s="467">
        <v>0.2026</v>
      </c>
      <c r="D24" s="467">
        <v>0.2271</v>
      </c>
      <c r="E24" s="467">
        <f t="shared" si="2"/>
        <v>0.22800000000000001</v>
      </c>
      <c r="F24" s="467">
        <f t="shared" si="3"/>
        <v>0.33529999999999999</v>
      </c>
      <c r="G24" s="468">
        <f t="shared" si="4"/>
        <v>3.4007589425501599</v>
      </c>
      <c r="H24" s="468">
        <f t="shared" si="5"/>
        <v>3.05873609319623</v>
      </c>
      <c r="I24" s="468">
        <f t="shared" si="6"/>
        <v>3.7015363527940051</v>
      </c>
      <c r="J24" s="468">
        <f t="shared" si="7"/>
        <v>2.0539433222225392</v>
      </c>
      <c r="K24" s="468">
        <f t="shared" si="8"/>
        <v>5.2375919476376271</v>
      </c>
      <c r="L24" s="473">
        <f t="shared" si="9"/>
        <v>2.0435031348849928</v>
      </c>
      <c r="M24" s="473">
        <f t="shared" si="10"/>
        <v>1.9045927225525663</v>
      </c>
      <c r="N24" s="473">
        <f t="shared" si="11"/>
        <v>2.1450219589247133</v>
      </c>
      <c r="O24" s="473">
        <f t="shared" si="12"/>
        <v>1.960205334785218</v>
      </c>
      <c r="P24" s="473">
        <f t="shared" si="13"/>
        <v>2.1360312642069963</v>
      </c>
      <c r="Q24" s="467"/>
      <c r="R24" s="467"/>
      <c r="S24" s="467"/>
      <c r="T24" s="467"/>
      <c r="U24" s="467"/>
      <c r="W24">
        <v>2008</v>
      </c>
      <c r="X24">
        <v>4399.72</v>
      </c>
      <c r="Y24">
        <v>2447.62</v>
      </c>
      <c r="Z24">
        <v>-1952.1</v>
      </c>
      <c r="AA24" s="76">
        <v>-0.44369999999999998</v>
      </c>
      <c r="AD24">
        <v>2008</v>
      </c>
      <c r="AE24">
        <v>27812.65</v>
      </c>
      <c r="AF24">
        <v>14387.48</v>
      </c>
      <c r="AG24">
        <v>-13425.17</v>
      </c>
      <c r="AH24" s="76">
        <v>-0.48270000000000002</v>
      </c>
    </row>
    <row r="25" spans="1:34">
      <c r="A25" s="78">
        <v>1997</v>
      </c>
      <c r="B25" s="467">
        <v>0.22639999999999999</v>
      </c>
      <c r="C25" s="467">
        <v>0.31009999999999999</v>
      </c>
      <c r="D25" s="467">
        <v>0.21640000000000001</v>
      </c>
      <c r="E25" s="467">
        <f t="shared" si="2"/>
        <v>0.36840000000000001</v>
      </c>
      <c r="F25" s="467">
        <f t="shared" si="3"/>
        <v>-0.2029</v>
      </c>
      <c r="G25" s="468">
        <f t="shared" si="4"/>
        <v>4.1706907671435163</v>
      </c>
      <c r="H25" s="468">
        <f t="shared" si="5"/>
        <v>4.0072501556963811</v>
      </c>
      <c r="I25" s="468">
        <f t="shared" si="6"/>
        <v>4.5025488195386272</v>
      </c>
      <c r="J25" s="468">
        <f t="shared" si="7"/>
        <v>2.8106160421293227</v>
      </c>
      <c r="K25" s="468">
        <f t="shared" si="8"/>
        <v>4.1748845414619531</v>
      </c>
      <c r="L25" s="473">
        <f t="shared" si="9"/>
        <v>2.2887235110711921</v>
      </c>
      <c r="M25" s="473">
        <f t="shared" si="10"/>
        <v>2.1331438492588743</v>
      </c>
      <c r="N25" s="473">
        <f t="shared" si="11"/>
        <v>2.4024245939956792</v>
      </c>
      <c r="O25" s="473">
        <f t="shared" si="12"/>
        <v>2.1954299749594441</v>
      </c>
      <c r="P25" s="473">
        <f t="shared" si="13"/>
        <v>2.1146709515649262</v>
      </c>
      <c r="Q25" s="467"/>
      <c r="R25" s="467"/>
      <c r="S25" s="467"/>
      <c r="T25" s="467"/>
      <c r="U25" s="467"/>
      <c r="W25">
        <v>2009</v>
      </c>
      <c r="X25">
        <v>2447.62</v>
      </c>
      <c r="Y25">
        <v>2964.96</v>
      </c>
      <c r="Z25">
        <v>517.34</v>
      </c>
      <c r="AA25" s="76">
        <v>0.2114</v>
      </c>
      <c r="AD25">
        <v>2009</v>
      </c>
      <c r="AE25">
        <v>14387.48</v>
      </c>
      <c r="AF25">
        <v>21872.5</v>
      </c>
      <c r="AG25">
        <v>7485.02</v>
      </c>
      <c r="AH25" s="76">
        <v>0.5202</v>
      </c>
    </row>
    <row r="26" spans="1:34">
      <c r="A26" s="78">
        <v>1998</v>
      </c>
      <c r="B26" s="467">
        <v>0.161</v>
      </c>
      <c r="C26" s="467">
        <v>0.26669999999999999</v>
      </c>
      <c r="D26" s="467">
        <v>0.39629999999999999</v>
      </c>
      <c r="E26" s="467">
        <f t="shared" si="2"/>
        <v>0.32</v>
      </c>
      <c r="F26" s="467">
        <f t="shared" si="3"/>
        <v>-6.2899999999999998E-2</v>
      </c>
      <c r="G26" s="468">
        <f t="shared" si="4"/>
        <v>4.8421719806536228</v>
      </c>
      <c r="H26" s="468">
        <f t="shared" si="5"/>
        <v>5.0759837722206056</v>
      </c>
      <c r="I26" s="468">
        <f t="shared" si="6"/>
        <v>6.286908916721786</v>
      </c>
      <c r="J26" s="468">
        <f t="shared" si="7"/>
        <v>3.710013175610706</v>
      </c>
      <c r="K26" s="468">
        <f t="shared" si="8"/>
        <v>3.9122843038039963</v>
      </c>
      <c r="L26" s="473">
        <f t="shared" si="9"/>
        <v>2.5633703323997352</v>
      </c>
      <c r="M26" s="473">
        <f t="shared" si="10"/>
        <v>2.3891211111699393</v>
      </c>
      <c r="N26" s="473">
        <f t="shared" si="11"/>
        <v>2.690715545275161</v>
      </c>
      <c r="O26" s="473">
        <f t="shared" si="12"/>
        <v>2.4588815719545778</v>
      </c>
      <c r="P26" s="473">
        <f t="shared" si="13"/>
        <v>2.093524242049277</v>
      </c>
      <c r="Q26" s="467"/>
      <c r="R26" s="467"/>
      <c r="S26" s="467"/>
      <c r="T26" s="467"/>
      <c r="U26" s="467"/>
      <c r="W26">
        <v>2010</v>
      </c>
      <c r="X26">
        <v>2964.96</v>
      </c>
      <c r="Y26">
        <v>2792.82</v>
      </c>
      <c r="Z26">
        <v>-172.14</v>
      </c>
      <c r="AA26" s="76">
        <v>-5.8099999999999999E-2</v>
      </c>
      <c r="AD26">
        <v>2010</v>
      </c>
      <c r="AE26">
        <v>21872.5</v>
      </c>
      <c r="AF26">
        <v>23035.45</v>
      </c>
      <c r="AG26">
        <v>1162.95</v>
      </c>
      <c r="AH26" s="76">
        <v>5.3199999999999997E-2</v>
      </c>
    </row>
    <row r="27" spans="1:34">
      <c r="A27" s="78">
        <v>1999</v>
      </c>
      <c r="B27" s="467">
        <v>0.25219999999999998</v>
      </c>
      <c r="C27" s="467">
        <v>0.1953</v>
      </c>
      <c r="D27" s="467">
        <v>0.85589999999999999</v>
      </c>
      <c r="E27" s="467">
        <f t="shared" si="2"/>
        <v>0.46739999999999998</v>
      </c>
      <c r="F27" s="467">
        <f t="shared" si="3"/>
        <v>0.68799999999999994</v>
      </c>
      <c r="G27" s="468">
        <f t="shared" si="4"/>
        <v>6.0633677541744664</v>
      </c>
      <c r="H27" s="468">
        <f t="shared" si="5"/>
        <v>6.0673234029352896</v>
      </c>
      <c r="I27" s="468">
        <f t="shared" si="6"/>
        <v>11.667874258543963</v>
      </c>
      <c r="J27" s="468">
        <f t="shared" si="7"/>
        <v>5.4440733338911498</v>
      </c>
      <c r="K27" s="468">
        <f t="shared" si="8"/>
        <v>6.6039359048211459</v>
      </c>
      <c r="L27" s="473">
        <f t="shared" si="9"/>
        <v>2.8709747722877039</v>
      </c>
      <c r="M27" s="473">
        <f t="shared" si="10"/>
        <v>2.6758156445103323</v>
      </c>
      <c r="N27" s="473">
        <f t="shared" si="11"/>
        <v>3.0136014107081808</v>
      </c>
      <c r="O27" s="473">
        <f t="shared" si="12"/>
        <v>2.7539473605891276</v>
      </c>
      <c r="P27" s="473">
        <f t="shared" si="13"/>
        <v>2.3447471510951905</v>
      </c>
      <c r="Q27" s="467"/>
      <c r="R27" s="467"/>
      <c r="S27" s="467"/>
      <c r="T27" s="467"/>
      <c r="U27" s="467"/>
      <c r="W27">
        <v>2011</v>
      </c>
      <c r="X27">
        <v>2792.82</v>
      </c>
      <c r="Y27">
        <v>2316.5500000000002</v>
      </c>
      <c r="Z27">
        <v>-476.27</v>
      </c>
      <c r="AA27" s="76">
        <v>-0.17050000000000001</v>
      </c>
      <c r="AD27">
        <v>2011</v>
      </c>
      <c r="AE27">
        <v>23035.45</v>
      </c>
      <c r="AF27">
        <v>18434.39</v>
      </c>
      <c r="AG27">
        <v>-4601.0600000000004</v>
      </c>
      <c r="AH27" s="76">
        <v>-0.19969999999999999</v>
      </c>
    </row>
    <row r="28" spans="1:34">
      <c r="A28" s="78">
        <v>2000</v>
      </c>
      <c r="B28" s="467">
        <v>-6.1800000000000001E-2</v>
      </c>
      <c r="C28" s="467">
        <v>-0.1014</v>
      </c>
      <c r="D28" s="467">
        <v>-0.39290000000000003</v>
      </c>
      <c r="E28" s="467">
        <f t="shared" si="2"/>
        <v>-2.69E-2</v>
      </c>
      <c r="F28" s="467">
        <f t="shared" si="3"/>
        <v>-0.11</v>
      </c>
      <c r="G28" s="468">
        <f t="shared" si="4"/>
        <v>5.6886516269664842</v>
      </c>
      <c r="H28" s="468">
        <f t="shared" si="5"/>
        <v>5.4520968098776512</v>
      </c>
      <c r="I28" s="468">
        <f t="shared" si="6"/>
        <v>7.0835664623620396</v>
      </c>
      <c r="J28" s="468">
        <f t="shared" si="7"/>
        <v>5.297627761209478</v>
      </c>
      <c r="K28" s="468">
        <f t="shared" si="8"/>
        <v>5.8775029552908196</v>
      </c>
      <c r="L28" s="473">
        <f t="shared" si="9"/>
        <v>2.8422650245648269</v>
      </c>
      <c r="M28" s="473">
        <f t="shared" si="10"/>
        <v>2.6490574880652291</v>
      </c>
      <c r="N28" s="473">
        <f t="shared" si="11"/>
        <v>2.9834653966010989</v>
      </c>
      <c r="O28" s="473">
        <f t="shared" si="12"/>
        <v>2.7264078869832362</v>
      </c>
      <c r="P28" s="473">
        <f t="shared" si="13"/>
        <v>2.3212996795842384</v>
      </c>
      <c r="Q28" s="467"/>
      <c r="R28" s="467"/>
      <c r="S28" s="467"/>
      <c r="T28" s="467"/>
      <c r="U28" s="467"/>
      <c r="W28">
        <v>2012</v>
      </c>
      <c r="X28">
        <v>2316.5500000000002</v>
      </c>
      <c r="Y28">
        <v>2635.93</v>
      </c>
      <c r="Z28">
        <v>319.38</v>
      </c>
      <c r="AA28" s="76">
        <v>0.13789999999999999</v>
      </c>
      <c r="AD28">
        <v>2012</v>
      </c>
      <c r="AE28">
        <v>18434.39</v>
      </c>
      <c r="AF28">
        <v>22656.92</v>
      </c>
      <c r="AG28">
        <v>4222.53</v>
      </c>
      <c r="AH28" s="76">
        <v>0.2291</v>
      </c>
    </row>
    <row r="29" spans="1:34">
      <c r="A29" s="78">
        <v>2001</v>
      </c>
      <c r="B29" s="467">
        <v>-7.0999999999999994E-2</v>
      </c>
      <c r="C29" s="467">
        <v>-0.13039999999999999</v>
      </c>
      <c r="D29" s="467">
        <v>-0.21049999999999999</v>
      </c>
      <c r="E29" s="467">
        <f t="shared" si="2"/>
        <v>-0.20250000000000001</v>
      </c>
      <c r="F29" s="467">
        <f t="shared" si="3"/>
        <v>-0.245</v>
      </c>
      <c r="G29" s="468">
        <f t="shared" si="4"/>
        <v>5.2847573614518639</v>
      </c>
      <c r="H29" s="468">
        <f t="shared" si="5"/>
        <v>4.7411433858696057</v>
      </c>
      <c r="I29" s="468">
        <f t="shared" si="6"/>
        <v>5.5924757220348305</v>
      </c>
      <c r="J29" s="468">
        <f t="shared" si="7"/>
        <v>4.2248581395645584</v>
      </c>
      <c r="K29" s="468">
        <f t="shared" si="8"/>
        <v>4.4375147312445691</v>
      </c>
      <c r="L29" s="473">
        <f t="shared" si="9"/>
        <v>2.8138423743191785</v>
      </c>
      <c r="M29" s="473">
        <f t="shared" si="10"/>
        <v>2.6225669131845768</v>
      </c>
      <c r="N29" s="473">
        <f t="shared" si="11"/>
        <v>2.9536307426350881</v>
      </c>
      <c r="O29" s="473">
        <f t="shared" si="12"/>
        <v>2.699143808113404</v>
      </c>
      <c r="P29" s="473">
        <f t="shared" si="13"/>
        <v>2.2980866827883961</v>
      </c>
      <c r="Q29" s="467"/>
      <c r="R29" s="467"/>
      <c r="S29" s="467"/>
      <c r="T29" s="467"/>
      <c r="U29" s="467"/>
      <c r="W29">
        <v>2013</v>
      </c>
      <c r="X29">
        <v>2635.93</v>
      </c>
      <c r="Y29">
        <v>3109</v>
      </c>
      <c r="Z29">
        <v>473.07</v>
      </c>
      <c r="AA29" s="76">
        <v>0.17949999999999999</v>
      </c>
      <c r="AD29">
        <v>2013</v>
      </c>
      <c r="AE29">
        <v>22656.92</v>
      </c>
      <c r="AF29">
        <v>23306.39</v>
      </c>
      <c r="AG29">
        <v>649.47</v>
      </c>
      <c r="AH29" s="76">
        <v>2.87E-2</v>
      </c>
    </row>
    <row r="30" spans="1:34">
      <c r="A30" s="78">
        <v>2002</v>
      </c>
      <c r="B30" s="467">
        <v>-0.1676</v>
      </c>
      <c r="C30" s="467">
        <v>-0.23369999999999999</v>
      </c>
      <c r="D30" s="467">
        <v>-0.31530000000000002</v>
      </c>
      <c r="E30" s="467">
        <f t="shared" si="2"/>
        <v>-0.373</v>
      </c>
      <c r="F30" s="467">
        <f t="shared" si="3"/>
        <v>-0.18210000000000001</v>
      </c>
      <c r="G30" s="468">
        <f t="shared" si="4"/>
        <v>4.3990320276725319</v>
      </c>
      <c r="H30" s="468">
        <f t="shared" si="5"/>
        <v>3.6331381765918787</v>
      </c>
      <c r="I30" s="468">
        <f t="shared" si="6"/>
        <v>3.8291681268772484</v>
      </c>
      <c r="J30" s="468">
        <f t="shared" si="7"/>
        <v>2.6489860535069782</v>
      </c>
      <c r="K30" s="468">
        <f t="shared" si="8"/>
        <v>3.629443298684933</v>
      </c>
      <c r="L30" s="473">
        <f t="shared" si="9"/>
        <v>2.7857039505759866</v>
      </c>
      <c r="M30" s="473">
        <f t="shared" si="10"/>
        <v>2.5963412440527311</v>
      </c>
      <c r="N30" s="473">
        <f t="shared" si="11"/>
        <v>2.9240944352087372</v>
      </c>
      <c r="O30" s="473">
        <f t="shared" si="12"/>
        <v>2.6721523700322698</v>
      </c>
      <c r="P30" s="473">
        <f t="shared" si="13"/>
        <v>2.275105815960512</v>
      </c>
      <c r="Q30" s="467"/>
      <c r="R30" s="467"/>
      <c r="S30" s="467"/>
      <c r="T30" s="467"/>
      <c r="U30" s="467"/>
      <c r="W30">
        <v>2014</v>
      </c>
      <c r="X30">
        <v>3109</v>
      </c>
      <c r="Y30">
        <v>3146.43</v>
      </c>
      <c r="Z30">
        <v>37.43</v>
      </c>
      <c r="AA30" s="76">
        <v>1.2E-2</v>
      </c>
      <c r="AD30">
        <v>2014</v>
      </c>
      <c r="AE30">
        <v>23306.39</v>
      </c>
      <c r="AF30">
        <v>23605.040000000001</v>
      </c>
      <c r="AG30">
        <v>298.64999999999998</v>
      </c>
      <c r="AH30" s="76">
        <v>1.2800000000000001E-2</v>
      </c>
    </row>
    <row r="31" spans="1:34">
      <c r="A31" s="78">
        <v>2003</v>
      </c>
      <c r="B31" s="467">
        <v>0.25319999999999998</v>
      </c>
      <c r="C31" s="467">
        <v>0.26379999999999998</v>
      </c>
      <c r="D31" s="467">
        <v>0.50009999999999999</v>
      </c>
      <c r="E31" s="467">
        <f t="shared" si="2"/>
        <v>0.15679999999999999</v>
      </c>
      <c r="F31" s="467">
        <f t="shared" si="3"/>
        <v>0.34920000000000001</v>
      </c>
      <c r="G31" s="468">
        <f t="shared" si="4"/>
        <v>5.5128669370792176</v>
      </c>
      <c r="H31" s="468">
        <f t="shared" si="5"/>
        <v>4.5915600275768167</v>
      </c>
      <c r="I31" s="468">
        <f t="shared" si="6"/>
        <v>5.7441351071285602</v>
      </c>
      <c r="J31" s="468">
        <f t="shared" si="7"/>
        <v>3.0643470666968726</v>
      </c>
      <c r="K31" s="468">
        <f t="shared" si="8"/>
        <v>4.8968448985857114</v>
      </c>
      <c r="L31" s="473">
        <f t="shared" si="9"/>
        <v>3.1199884246451055</v>
      </c>
      <c r="M31" s="473">
        <f t="shared" si="10"/>
        <v>2.907902193339059</v>
      </c>
      <c r="N31" s="473">
        <f t="shared" si="11"/>
        <v>3.2749857674337859</v>
      </c>
      <c r="O31" s="473">
        <f t="shared" si="12"/>
        <v>2.9928106544361426</v>
      </c>
      <c r="P31" s="473">
        <f t="shared" si="13"/>
        <v>2.5481185138757736</v>
      </c>
      <c r="Q31" s="467"/>
      <c r="R31" s="467"/>
      <c r="S31" s="467"/>
      <c r="T31" s="467"/>
      <c r="U31" s="467"/>
      <c r="W31">
        <v>2015</v>
      </c>
      <c r="X31">
        <v>3146.43</v>
      </c>
      <c r="Y31">
        <v>3267.52</v>
      </c>
      <c r="Z31">
        <v>121.09</v>
      </c>
      <c r="AA31" s="76">
        <v>3.85E-2</v>
      </c>
      <c r="AD31">
        <v>2015</v>
      </c>
      <c r="AE31">
        <v>23605.040000000001</v>
      </c>
      <c r="AF31">
        <v>21914.400000000001</v>
      </c>
      <c r="AG31">
        <v>-1690.64</v>
      </c>
      <c r="AH31" s="76">
        <v>-7.1599999999999997E-2</v>
      </c>
    </row>
    <row r="32" spans="1:34">
      <c r="A32" s="78">
        <v>2004</v>
      </c>
      <c r="B32" s="467">
        <v>3.15E-2</v>
      </c>
      <c r="C32" s="467">
        <v>8.9899999999999994E-2</v>
      </c>
      <c r="D32" s="467">
        <v>8.5900000000000004E-2</v>
      </c>
      <c r="E32" s="467">
        <f t="shared" si="2"/>
        <v>6.9000000000000006E-2</v>
      </c>
      <c r="F32" s="467">
        <f t="shared" si="3"/>
        <v>0.13150000000000001</v>
      </c>
      <c r="G32" s="468">
        <f t="shared" si="4"/>
        <v>5.6865222455972138</v>
      </c>
      <c r="H32" s="468">
        <f t="shared" si="5"/>
        <v>5.0043412740559727</v>
      </c>
      <c r="I32" s="468">
        <f t="shared" si="6"/>
        <v>6.2375563128309039</v>
      </c>
      <c r="J32" s="468">
        <f t="shared" si="7"/>
        <v>3.2757870142989565</v>
      </c>
      <c r="K32" s="468">
        <f t="shared" si="8"/>
        <v>5.5407800027497318</v>
      </c>
      <c r="L32" s="473">
        <f t="shared" si="9"/>
        <v>3.1870681757749755</v>
      </c>
      <c r="M32" s="473">
        <f t="shared" si="10"/>
        <v>3.1402435785868499</v>
      </c>
      <c r="N32" s="473">
        <f t="shared" si="11"/>
        <v>3.5235571871820106</v>
      </c>
      <c r="O32" s="473">
        <f t="shared" si="12"/>
        <v>3.1693864830478748</v>
      </c>
      <c r="P32" s="473">
        <f t="shared" si="13"/>
        <v>2.8538927355408665</v>
      </c>
      <c r="Q32" s="467"/>
      <c r="R32" s="467"/>
      <c r="S32" s="467"/>
      <c r="T32" s="467"/>
      <c r="U32" s="467"/>
      <c r="W32">
        <v>2016</v>
      </c>
      <c r="X32">
        <v>3267.52</v>
      </c>
      <c r="Y32">
        <v>3290.52</v>
      </c>
      <c r="Z32">
        <v>23</v>
      </c>
      <c r="AA32" s="76">
        <v>7.0000000000000001E-3</v>
      </c>
      <c r="AD32">
        <v>2016</v>
      </c>
      <c r="AE32">
        <v>21914.400000000001</v>
      </c>
      <c r="AF32">
        <v>22000.560000000001</v>
      </c>
      <c r="AG32">
        <v>86.16</v>
      </c>
      <c r="AH32" s="76">
        <v>3.8999999999999998E-3</v>
      </c>
    </row>
    <row r="33" spans="1:34">
      <c r="A33" s="78">
        <v>2005</v>
      </c>
      <c r="B33" s="467">
        <v>-6.1000000000000004E-3</v>
      </c>
      <c r="C33" s="467">
        <v>0.03</v>
      </c>
      <c r="D33" s="467">
        <v>1.37E-2</v>
      </c>
      <c r="E33" s="467">
        <f t="shared" si="2"/>
        <v>0.21279999999999999</v>
      </c>
      <c r="F33" s="467">
        <f t="shared" si="3"/>
        <v>4.5400000000000003E-2</v>
      </c>
      <c r="G33" s="468">
        <f t="shared" si="4"/>
        <v>5.6518344598990709</v>
      </c>
      <c r="H33" s="468">
        <f t="shared" si="5"/>
        <v>5.1544715122776523</v>
      </c>
      <c r="I33" s="468">
        <f t="shared" si="6"/>
        <v>6.3230108343166878</v>
      </c>
      <c r="J33" s="468">
        <f t="shared" si="7"/>
        <v>3.9728744909417748</v>
      </c>
      <c r="K33" s="468">
        <f t="shared" si="8"/>
        <v>5.7923314148745702</v>
      </c>
      <c r="L33" s="473">
        <f t="shared" si="9"/>
        <v>3.1551974940172256</v>
      </c>
      <c r="M33" s="473">
        <f t="shared" si="10"/>
        <v>3.2030484501585867</v>
      </c>
      <c r="N33" s="473">
        <f t="shared" si="11"/>
        <v>3.5365943487745843</v>
      </c>
      <c r="O33" s="473">
        <f t="shared" si="12"/>
        <v>3.5497128610136204</v>
      </c>
      <c r="P33" s="473">
        <f t="shared" si="13"/>
        <v>2.9549205383790134</v>
      </c>
      <c r="Q33" s="467"/>
      <c r="R33" s="467"/>
      <c r="S33" s="467"/>
      <c r="T33" s="467"/>
      <c r="U33" s="467"/>
      <c r="W33">
        <v>2017</v>
      </c>
      <c r="X33">
        <v>3290.52</v>
      </c>
      <c r="Y33">
        <v>3503.96</v>
      </c>
      <c r="Z33">
        <v>213.44</v>
      </c>
      <c r="AA33" s="76">
        <v>6.4899999999999999E-2</v>
      </c>
      <c r="AD33">
        <v>2017</v>
      </c>
      <c r="AE33">
        <v>22000.560000000001</v>
      </c>
      <c r="AF33">
        <v>29919.15</v>
      </c>
      <c r="AG33">
        <v>7918.56</v>
      </c>
      <c r="AH33" s="76">
        <v>0.3599</v>
      </c>
    </row>
    <row r="34" spans="1:34">
      <c r="A34" s="78">
        <v>2006</v>
      </c>
      <c r="B34" s="467">
        <v>0.16289999999999999</v>
      </c>
      <c r="C34" s="467">
        <v>0.13619999999999999</v>
      </c>
      <c r="D34" s="467">
        <v>9.5200000000000007E-2</v>
      </c>
      <c r="E34" s="467">
        <f t="shared" si="2"/>
        <v>0.1512</v>
      </c>
      <c r="F34" s="467">
        <f t="shared" si="3"/>
        <v>0.34200000000000003</v>
      </c>
      <c r="G34" s="468">
        <f t="shared" si="4"/>
        <v>6.5725182934166302</v>
      </c>
      <c r="H34" s="468">
        <f t="shared" si="5"/>
        <v>5.8565105322498692</v>
      </c>
      <c r="I34" s="468">
        <f t="shared" si="6"/>
        <v>6.9249614657436362</v>
      </c>
      <c r="J34" s="468">
        <f t="shared" si="7"/>
        <v>4.5735731139721709</v>
      </c>
      <c r="K34" s="468">
        <f t="shared" si="8"/>
        <v>7.773308758761674</v>
      </c>
      <c r="L34" s="473">
        <f t="shared" si="9"/>
        <v>3.5338211932992931</v>
      </c>
      <c r="M34" s="473">
        <f t="shared" si="10"/>
        <v>3.5874142641776174</v>
      </c>
      <c r="N34" s="473">
        <f t="shared" si="11"/>
        <v>3.8379121872901787</v>
      </c>
      <c r="O34" s="473">
        <f t="shared" si="12"/>
        <v>3.9756784043352553</v>
      </c>
      <c r="P34" s="473">
        <f t="shared" si="13"/>
        <v>3.3095110029844954</v>
      </c>
      <c r="Q34" s="467"/>
      <c r="R34" s="467"/>
      <c r="S34" s="467"/>
      <c r="T34" s="467"/>
      <c r="U34" s="467"/>
      <c r="W34">
        <v>2018</v>
      </c>
      <c r="X34">
        <v>3503.96</v>
      </c>
      <c r="Y34">
        <v>3001.42</v>
      </c>
      <c r="Z34">
        <v>-502.54</v>
      </c>
      <c r="AA34" s="76">
        <v>-0.1434</v>
      </c>
      <c r="AD34">
        <v>2018</v>
      </c>
      <c r="AE34">
        <v>29919.15</v>
      </c>
      <c r="AF34">
        <v>25845.7</v>
      </c>
      <c r="AG34">
        <v>-4073.45</v>
      </c>
      <c r="AH34" s="76">
        <v>-0.1361</v>
      </c>
    </row>
    <row r="35" spans="1:34">
      <c r="A35" s="78">
        <v>2007</v>
      </c>
      <c r="B35" s="467">
        <v>6.4299999999999996E-2</v>
      </c>
      <c r="C35" s="467">
        <v>3.5200000000000002E-2</v>
      </c>
      <c r="D35" s="467">
        <v>9.8100000000000007E-2</v>
      </c>
      <c r="E35" s="467">
        <f t="shared" si="2"/>
        <v>6.7900000000000002E-2</v>
      </c>
      <c r="F35" s="467">
        <f t="shared" si="3"/>
        <v>0.3931</v>
      </c>
      <c r="G35" s="468">
        <f t="shared" si="4"/>
        <v>6.9951312196833193</v>
      </c>
      <c r="H35" s="468">
        <f t="shared" si="5"/>
        <v>6.062659702985064</v>
      </c>
      <c r="I35" s="468">
        <f t="shared" si="6"/>
        <v>7.6043001855330878</v>
      </c>
      <c r="J35" s="468">
        <f t="shared" si="7"/>
        <v>4.8841187284108818</v>
      </c>
      <c r="K35" s="468">
        <f t="shared" si="8"/>
        <v>10.828996431830888</v>
      </c>
      <c r="L35" s="473">
        <f t="shared" si="9"/>
        <v>3.7257076840954446</v>
      </c>
      <c r="M35" s="473">
        <f t="shared" si="10"/>
        <v>3.6778171036348928</v>
      </c>
      <c r="N35" s="473">
        <f t="shared" si="11"/>
        <v>4.1760322509904437</v>
      </c>
      <c r="O35" s="473">
        <f t="shared" si="12"/>
        <v>4.2058701839462671</v>
      </c>
      <c r="P35" s="473">
        <f t="shared" si="13"/>
        <v>3.7066523233426354</v>
      </c>
      <c r="Q35" s="467"/>
      <c r="R35" s="467"/>
      <c r="S35" s="467"/>
      <c r="T35" s="467"/>
      <c r="U35" s="467"/>
    </row>
    <row r="36" spans="1:34">
      <c r="A36" s="78">
        <v>2008</v>
      </c>
      <c r="B36" s="467">
        <v>-0.33839999999999998</v>
      </c>
      <c r="C36" s="467">
        <v>-0.38490000000000002</v>
      </c>
      <c r="D36" s="467">
        <v>-0.40539999999999998</v>
      </c>
      <c r="E36" s="467">
        <f t="shared" si="2"/>
        <v>-0.44369999999999998</v>
      </c>
      <c r="F36" s="467">
        <f t="shared" si="3"/>
        <v>-0.48270000000000002</v>
      </c>
      <c r="G36" s="468">
        <f t="shared" si="4"/>
        <v>4.6279788149424839</v>
      </c>
      <c r="H36" s="468">
        <f t="shared" si="5"/>
        <v>3.7291419833061128</v>
      </c>
      <c r="I36" s="468">
        <f t="shared" si="6"/>
        <v>4.5215168903179741</v>
      </c>
      <c r="J36" s="468">
        <f t="shared" si="7"/>
        <v>2.7170352486149736</v>
      </c>
      <c r="K36" s="468">
        <f t="shared" si="8"/>
        <v>5.6018398541861183</v>
      </c>
      <c r="L36" s="473">
        <f t="shared" si="9"/>
        <v>3.6884506072544903</v>
      </c>
      <c r="M36" s="473">
        <f t="shared" si="10"/>
        <v>3.6410389325985437</v>
      </c>
      <c r="N36" s="473">
        <f t="shared" si="11"/>
        <v>4.1342719284805396</v>
      </c>
      <c r="O36" s="473">
        <f t="shared" si="12"/>
        <v>4.1638114821068042</v>
      </c>
      <c r="P36" s="473">
        <f t="shared" si="13"/>
        <v>3.6695858001092092</v>
      </c>
      <c r="Q36" s="467"/>
      <c r="R36" s="467"/>
      <c r="S36" s="467"/>
      <c r="T36" s="467"/>
      <c r="U36" s="467"/>
    </row>
    <row r="37" spans="1:34">
      <c r="A37" s="78">
        <v>2009</v>
      </c>
      <c r="B37" s="467">
        <v>0.18820000000000001</v>
      </c>
      <c r="C37" s="467">
        <v>0.23449999999999999</v>
      </c>
      <c r="D37" s="467">
        <v>0.43890000000000001</v>
      </c>
      <c r="E37" s="467">
        <f t="shared" si="2"/>
        <v>0.2114</v>
      </c>
      <c r="F37" s="467">
        <f t="shared" si="3"/>
        <v>0.5202</v>
      </c>
      <c r="G37" s="468">
        <f t="shared" si="4"/>
        <v>5.4989644279146592</v>
      </c>
      <c r="H37" s="468">
        <f t="shared" si="5"/>
        <v>4.6036257783913959</v>
      </c>
      <c r="I37" s="468">
        <f t="shared" si="6"/>
        <v>6.5060106534785334</v>
      </c>
      <c r="J37" s="468">
        <f t="shared" si="7"/>
        <v>3.2914165001721791</v>
      </c>
      <c r="K37" s="468">
        <f t="shared" si="8"/>
        <v>8.5159169463337374</v>
      </c>
      <c r="L37" s="473">
        <f t="shared" si="9"/>
        <v>4.1310646801250295</v>
      </c>
      <c r="M37" s="473">
        <f t="shared" si="10"/>
        <v>4.0779636045103693</v>
      </c>
      <c r="N37" s="473">
        <f t="shared" si="11"/>
        <v>4.6303845598982045</v>
      </c>
      <c r="O37" s="473">
        <f t="shared" si="12"/>
        <v>4.6634688599596208</v>
      </c>
      <c r="P37" s="473">
        <f t="shared" si="13"/>
        <v>4.1099360961223148</v>
      </c>
      <c r="Q37" s="467"/>
      <c r="R37" s="467"/>
      <c r="S37" s="467"/>
      <c r="T37" s="467"/>
      <c r="U37" s="467"/>
    </row>
    <row r="38" spans="1:34">
      <c r="A38" s="78">
        <v>2010</v>
      </c>
      <c r="B38" s="467">
        <v>0.11020000000000001</v>
      </c>
      <c r="C38" s="467">
        <v>0.1278</v>
      </c>
      <c r="D38" s="467">
        <v>0.1691</v>
      </c>
      <c r="E38" s="467">
        <f t="shared" si="2"/>
        <v>-5.8099999999999999E-2</v>
      </c>
      <c r="F38" s="467">
        <f t="shared" si="3"/>
        <v>5.3199999999999997E-2</v>
      </c>
      <c r="G38" s="468">
        <f t="shared" si="4"/>
        <v>6.1049503078708547</v>
      </c>
      <c r="H38" s="468">
        <f t="shared" si="5"/>
        <v>5.1919691528698158</v>
      </c>
      <c r="I38" s="468">
        <f t="shared" si="6"/>
        <v>7.6061770549817531</v>
      </c>
      <c r="J38" s="468">
        <f t="shared" si="7"/>
        <v>3.1001852015121756</v>
      </c>
      <c r="K38" s="468">
        <f t="shared" si="8"/>
        <v>8.9689637278786911</v>
      </c>
      <c r="L38" s="473">
        <f t="shared" si="9"/>
        <v>4.5449973610735581</v>
      </c>
      <c r="M38" s="473">
        <f t="shared" si="10"/>
        <v>4.5583477171216904</v>
      </c>
      <c r="N38" s="473">
        <f t="shared" si="11"/>
        <v>5.1860307070859895</v>
      </c>
      <c r="O38" s="473">
        <f t="shared" si="12"/>
        <v>4.6168341713600247</v>
      </c>
      <c r="P38" s="473">
        <f t="shared" si="13"/>
        <v>4.2874853354747984</v>
      </c>
      <c r="Q38" s="467"/>
      <c r="R38" s="467"/>
      <c r="S38" s="467"/>
      <c r="T38" s="467"/>
      <c r="U38" s="467"/>
    </row>
    <row r="39" spans="1:34">
      <c r="A39" s="78">
        <v>2011</v>
      </c>
      <c r="B39" s="467">
        <v>5.5300000000000002E-2</v>
      </c>
      <c r="C39" s="467">
        <v>0</v>
      </c>
      <c r="D39" s="467">
        <v>-1.7999999999999999E-2</v>
      </c>
      <c r="E39" s="467">
        <f t="shared" si="2"/>
        <v>-0.17050000000000001</v>
      </c>
      <c r="F39" s="467">
        <f t="shared" si="3"/>
        <v>-0.19969999999999999</v>
      </c>
      <c r="G39" s="468">
        <f t="shared" si="4"/>
        <v>6.4425540598961124</v>
      </c>
      <c r="H39" s="468">
        <f t="shared" si="5"/>
        <v>5.1919691528698158</v>
      </c>
      <c r="I39" s="468">
        <f t="shared" si="6"/>
        <v>7.4692658679920818</v>
      </c>
      <c r="J39" s="468">
        <f t="shared" si="7"/>
        <v>2.5716036246543497</v>
      </c>
      <c r="K39" s="468">
        <f t="shared" si="8"/>
        <v>7.1778616714213168</v>
      </c>
      <c r="L39" s="473">
        <f t="shared" si="9"/>
        <v>4.7508857415301895</v>
      </c>
      <c r="M39" s="473">
        <f t="shared" si="10"/>
        <v>4.5127642399504735</v>
      </c>
      <c r="N39" s="473">
        <f t="shared" si="11"/>
        <v>5.1341704000151296</v>
      </c>
      <c r="O39" s="473">
        <f t="shared" si="12"/>
        <v>4.5706658296464244</v>
      </c>
      <c r="P39" s="473">
        <f t="shared" si="13"/>
        <v>4.2446104821200503</v>
      </c>
      <c r="Q39" s="467"/>
      <c r="R39" s="467"/>
      <c r="S39" s="467"/>
      <c r="T39" s="467"/>
      <c r="U39" s="467"/>
    </row>
    <row r="40" spans="1:34">
      <c r="A40" s="78">
        <v>2012</v>
      </c>
      <c r="B40" s="467">
        <v>7.2599999999999998E-2</v>
      </c>
      <c r="C40" s="467">
        <v>0.1341</v>
      </c>
      <c r="D40" s="467">
        <v>0.15909999999999999</v>
      </c>
      <c r="E40" s="467">
        <f t="shared" si="2"/>
        <v>0.13789999999999999</v>
      </c>
      <c r="F40" s="467">
        <f t="shared" si="3"/>
        <v>0.2291</v>
      </c>
      <c r="G40" s="468">
        <f t="shared" si="4"/>
        <v>6.9102834846445704</v>
      </c>
      <c r="H40" s="468">
        <f t="shared" si="5"/>
        <v>5.8882122162696584</v>
      </c>
      <c r="I40" s="468">
        <f t="shared" si="6"/>
        <v>8.6576260675896215</v>
      </c>
      <c r="J40" s="468">
        <f t="shared" si="7"/>
        <v>2.9262277644941843</v>
      </c>
      <c r="K40" s="468">
        <f t="shared" si="8"/>
        <v>8.8223097803439412</v>
      </c>
      <c r="L40" s="473">
        <f t="shared" si="9"/>
        <v>5.0482911889499791</v>
      </c>
      <c r="M40" s="473">
        <f t="shared" si="10"/>
        <v>5.0542959487445307</v>
      </c>
      <c r="N40" s="473">
        <f t="shared" si="11"/>
        <v>5.750270848016946</v>
      </c>
      <c r="O40" s="473">
        <f t="shared" si="12"/>
        <v>5.1191457292039955</v>
      </c>
      <c r="P40" s="473">
        <f t="shared" si="13"/>
        <v>4.7539637399744565</v>
      </c>
      <c r="Q40" s="467"/>
      <c r="R40" s="467"/>
      <c r="S40" s="467"/>
      <c r="T40" s="467"/>
      <c r="U40" s="467"/>
    </row>
    <row r="41" spans="1:34">
      <c r="A41" s="78">
        <v>2013</v>
      </c>
      <c r="B41" s="467">
        <v>0.26500000000000001</v>
      </c>
      <c r="C41" s="467">
        <v>0.29599999999999999</v>
      </c>
      <c r="D41" s="467">
        <v>0.38319999999999999</v>
      </c>
      <c r="E41" s="467">
        <f t="shared" si="2"/>
        <v>0.17949999999999999</v>
      </c>
      <c r="F41" s="467">
        <f t="shared" si="3"/>
        <v>2.87E-2</v>
      </c>
      <c r="G41" s="468">
        <f t="shared" si="4"/>
        <v>8.7415086080753817</v>
      </c>
      <c r="H41" s="468">
        <f t="shared" si="5"/>
        <v>7.6311230322854779</v>
      </c>
      <c r="I41" s="468">
        <f t="shared" si="6"/>
        <v>11.975228376689964</v>
      </c>
      <c r="J41" s="468">
        <f t="shared" si="7"/>
        <v>3.4514856482208902</v>
      </c>
      <c r="K41" s="468">
        <f t="shared" si="8"/>
        <v>9.0755100710398118</v>
      </c>
      <c r="L41" s="473">
        <f t="shared" si="9"/>
        <v>5.654086131623977</v>
      </c>
      <c r="M41" s="473">
        <f t="shared" si="10"/>
        <v>5.660811462593875</v>
      </c>
      <c r="N41" s="473">
        <f t="shared" si="11"/>
        <v>6.4403033497789801</v>
      </c>
      <c r="O41" s="473">
        <f t="shared" si="12"/>
        <v>5.7334432167084755</v>
      </c>
      <c r="P41" s="473">
        <f t="shared" si="13"/>
        <v>4.8428628619119785</v>
      </c>
      <c r="Q41" s="467"/>
      <c r="R41" s="467"/>
      <c r="S41" s="467"/>
      <c r="T41" s="467"/>
      <c r="U41" s="467"/>
    </row>
    <row r="42" spans="1:34">
      <c r="A42" s="78">
        <v>2014</v>
      </c>
      <c r="B42" s="467">
        <v>7.5200000000000003E-2</v>
      </c>
      <c r="C42" s="467">
        <v>0.1139</v>
      </c>
      <c r="D42" s="467">
        <v>0.13400000000000001</v>
      </c>
      <c r="E42" s="467">
        <f t="shared" si="2"/>
        <v>1.2E-2</v>
      </c>
      <c r="F42" s="467">
        <f t="shared" si="3"/>
        <v>1.2800000000000001E-2</v>
      </c>
      <c r="G42" s="468">
        <f t="shared" si="4"/>
        <v>9.3988700554026501</v>
      </c>
      <c r="H42" s="468">
        <f t="shared" si="5"/>
        <v>8.5003079456627955</v>
      </c>
      <c r="I42" s="468">
        <f t="shared" si="6"/>
        <v>13.579908979166419</v>
      </c>
      <c r="J42" s="468">
        <f t="shared" si="7"/>
        <v>3.4929034759995408</v>
      </c>
      <c r="K42" s="468">
        <f t="shared" si="8"/>
        <v>9.1916765999491208</v>
      </c>
      <c r="L42" s="473">
        <f t="shared" si="9"/>
        <v>6.0227325474058597</v>
      </c>
      <c r="M42" s="473">
        <f t="shared" si="10"/>
        <v>6.2489697735573788</v>
      </c>
      <c r="N42" s="473">
        <f t="shared" si="11"/>
        <v>7.2131397517524585</v>
      </c>
      <c r="O42" s="473">
        <f t="shared" si="12"/>
        <v>5.7449101031418923</v>
      </c>
      <c r="P42" s="473">
        <f t="shared" si="13"/>
        <v>4.8564228779253318</v>
      </c>
      <c r="Q42" s="467"/>
      <c r="R42" s="467"/>
      <c r="S42" s="467"/>
      <c r="T42" s="467"/>
      <c r="U42" s="467"/>
    </row>
    <row r="43" spans="1:34">
      <c r="A43" s="78">
        <v>2015</v>
      </c>
      <c r="B43" s="467">
        <v>-2.23E-2</v>
      </c>
      <c r="C43" s="467">
        <v>-7.3000000000000001E-3</v>
      </c>
      <c r="D43" s="467">
        <v>5.7299999999999997E-2</v>
      </c>
      <c r="E43" s="467">
        <f t="shared" si="2"/>
        <v>3.85E-2</v>
      </c>
      <c r="F43" s="467">
        <f t="shared" si="3"/>
        <v>-7.1599999999999997E-2</v>
      </c>
      <c r="G43" s="468">
        <f t="shared" si="4"/>
        <v>9.1892752531671711</v>
      </c>
      <c r="H43" s="468">
        <f t="shared" si="5"/>
        <v>8.4382556976594572</v>
      </c>
      <c r="I43" s="468">
        <f t="shared" si="6"/>
        <v>14.358037763672653</v>
      </c>
      <c r="J43" s="468">
        <f t="shared" si="7"/>
        <v>3.6273802598255229</v>
      </c>
      <c r="K43" s="468">
        <f t="shared" si="8"/>
        <v>8.5335525553927631</v>
      </c>
      <c r="L43" s="473">
        <f t="shared" si="9"/>
        <v>5.9625052219318011</v>
      </c>
      <c r="M43" s="473">
        <f t="shared" si="10"/>
        <v>6.1864800758218053</v>
      </c>
      <c r="N43" s="473">
        <f t="shared" si="11"/>
        <v>7.5543212620103493</v>
      </c>
      <c r="O43" s="473">
        <f t="shared" si="12"/>
        <v>5.9086400410814361</v>
      </c>
      <c r="P43" s="473">
        <f t="shared" si="13"/>
        <v>4.8078586491460786</v>
      </c>
      <c r="Q43" s="467"/>
      <c r="R43" s="467"/>
      <c r="S43" s="467"/>
      <c r="T43" s="467"/>
      <c r="U43" s="467"/>
    </row>
    <row r="44" spans="1:34">
      <c r="A44" s="78">
        <v>2016</v>
      </c>
      <c r="B44" s="467">
        <v>0.13420000000000001</v>
      </c>
      <c r="C44" s="467">
        <v>9.5399999999999999E-2</v>
      </c>
      <c r="D44" s="467">
        <v>7.4999999999999997E-2</v>
      </c>
      <c r="E44" s="467">
        <f t="shared" si="2"/>
        <v>7.0000000000000001E-3</v>
      </c>
      <c r="F44" s="467">
        <f t="shared" si="3"/>
        <v>3.8999999999999998E-3</v>
      </c>
      <c r="G44" s="468">
        <f t="shared" si="4"/>
        <v>10.422475992142207</v>
      </c>
      <c r="H44" s="468">
        <f t="shared" si="5"/>
        <v>9.2432652912161686</v>
      </c>
      <c r="I44" s="468">
        <f t="shared" si="6"/>
        <v>15.434890595948103</v>
      </c>
      <c r="J44" s="468">
        <f t="shared" si="7"/>
        <v>3.6527719216443013</v>
      </c>
      <c r="K44" s="468">
        <f t="shared" si="8"/>
        <v>8.5668334103587949</v>
      </c>
      <c r="L44" s="473">
        <f t="shared" si="9"/>
        <v>6.6780058485636182</v>
      </c>
      <c r="M44" s="473">
        <f t="shared" si="10"/>
        <v>6.7148054742969867</v>
      </c>
      <c r="N44" s="473">
        <f t="shared" si="11"/>
        <v>8.0453521440410221</v>
      </c>
      <c r="O44" s="473">
        <f t="shared" si="12"/>
        <v>5.8909141209581914</v>
      </c>
      <c r="P44" s="473">
        <f t="shared" si="13"/>
        <v>4.7785307113862876</v>
      </c>
      <c r="Q44" s="467"/>
      <c r="R44" s="467"/>
      <c r="S44" s="467"/>
      <c r="T44" s="467"/>
      <c r="U44" s="467"/>
    </row>
    <row r="45" spans="1:34">
      <c r="A45" s="78">
        <v>2017</v>
      </c>
      <c r="B45" s="467">
        <v>0.25080000000000002</v>
      </c>
      <c r="C45" s="467">
        <v>0.19420000000000001</v>
      </c>
      <c r="D45" s="467">
        <v>0.28239999999999998</v>
      </c>
      <c r="E45" s="467">
        <f t="shared" si="2"/>
        <v>6.4899999999999999E-2</v>
      </c>
      <c r="F45" s="467">
        <f t="shared" si="3"/>
        <v>0.3599</v>
      </c>
      <c r="G45" s="468">
        <f t="shared" si="4"/>
        <v>13.036432970971472</v>
      </c>
      <c r="H45" s="468">
        <f t="shared" si="5"/>
        <v>11.038307410770347</v>
      </c>
      <c r="I45" s="468">
        <f t="shared" si="6"/>
        <v>19.793703700243846</v>
      </c>
      <c r="J45" s="468">
        <f t="shared" si="7"/>
        <v>3.8898368193590165</v>
      </c>
      <c r="K45" s="468">
        <f t="shared" si="8"/>
        <v>11.650036754746926</v>
      </c>
      <c r="L45" s="473">
        <f t="shared" si="9"/>
        <v>7.4793665503912532</v>
      </c>
      <c r="M45" s="473">
        <f t="shared" si="10"/>
        <v>7.5205821312126258</v>
      </c>
      <c r="N45" s="473">
        <f t="shared" si="11"/>
        <v>9.0107944013259456</v>
      </c>
      <c r="O45" s="473">
        <f t="shared" si="12"/>
        <v>6.2143253061987958</v>
      </c>
      <c r="P45" s="473">
        <f t="shared" si="13"/>
        <v>5.3519543967526424</v>
      </c>
      <c r="Q45" s="467"/>
      <c r="R45" s="467"/>
      <c r="S45" s="467"/>
      <c r="T45" s="467"/>
      <c r="U45" s="467"/>
    </row>
    <row r="46" spans="1:34">
      <c r="A46" s="78">
        <v>2018</v>
      </c>
      <c r="B46" s="467">
        <v>-5.6300000000000003E-2</v>
      </c>
      <c r="C46" s="467">
        <v>-6.2399999999999997E-2</v>
      </c>
      <c r="D46" s="467">
        <v>-3.8800000000000001E-2</v>
      </c>
      <c r="E46" s="467">
        <f t="shared" si="2"/>
        <v>-0.1434</v>
      </c>
      <c r="F46" s="467">
        <f t="shared" si="3"/>
        <v>-0.1361</v>
      </c>
      <c r="G46" s="468">
        <f t="shared" si="4"/>
        <v>12.302481794705777</v>
      </c>
      <c r="H46" s="468">
        <f t="shared" si="5"/>
        <v>10.349517028338278</v>
      </c>
      <c r="I46" s="468">
        <f t="shared" si="6"/>
        <v>19.025707996674385</v>
      </c>
      <c r="J46" s="468">
        <f t="shared" si="7"/>
        <v>3.3320342194629338</v>
      </c>
      <c r="K46" s="468">
        <f t="shared" si="8"/>
        <v>10.06446675242587</v>
      </c>
      <c r="L46" s="473">
        <f t="shared" si="9"/>
        <v>7.4045728848873402</v>
      </c>
      <c r="M46" s="473">
        <f t="shared" si="10"/>
        <v>7.4453763099004995</v>
      </c>
      <c r="N46" s="473">
        <f t="shared" si="11"/>
        <v>8.9206864573126854</v>
      </c>
      <c r="O46" s="473">
        <f t="shared" si="12"/>
        <v>6.1521820531368077</v>
      </c>
      <c r="P46" s="473">
        <f t="shared" si="13"/>
        <v>5.2984348527851157</v>
      </c>
      <c r="Q46" s="467"/>
      <c r="R46" s="467"/>
      <c r="S46" s="467"/>
      <c r="T46" s="467"/>
      <c r="U46" s="467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C51"/>
  <sheetViews>
    <sheetView workbookViewId="0">
      <selection activeCell="R7" sqref="R7"/>
    </sheetView>
  </sheetViews>
  <sheetFormatPr defaultRowHeight="13.2"/>
  <cols>
    <col min="1" max="1" width="2.33203125" customWidth="1"/>
    <col min="2" max="2" width="13" customWidth="1"/>
    <col min="3" max="3" width="9.6640625" customWidth="1"/>
    <col min="4" max="4" width="10.33203125" customWidth="1"/>
    <col min="5" max="5" width="8" customWidth="1"/>
    <col min="6" max="6" width="8.109375" customWidth="1"/>
    <col min="7" max="7" width="8.33203125" customWidth="1"/>
    <col min="8" max="8" width="13.109375" customWidth="1"/>
    <col min="11" max="11" width="13.5546875" customWidth="1"/>
    <col min="12" max="12" width="11.6640625" customWidth="1"/>
    <col min="13" max="13" width="12.6640625" customWidth="1"/>
    <col min="14" max="14" width="0.44140625" customWidth="1"/>
    <col min="15" max="15" width="11.33203125" customWidth="1"/>
    <col min="16" max="16" width="6" customWidth="1"/>
    <col min="17" max="17" width="6" style="78" customWidth="1"/>
    <col min="18" max="18" width="8.21875" style="78" customWidth="1"/>
    <col min="19" max="19" width="12.5546875" style="78" customWidth="1"/>
    <col min="20" max="20" width="14.88671875" style="78" customWidth="1"/>
    <col min="21" max="21" width="17.6640625" customWidth="1"/>
    <col min="22" max="22" width="4.5546875" customWidth="1"/>
    <col min="23" max="23" width="11.88671875" customWidth="1"/>
    <col min="24" max="24" width="14.44140625" customWidth="1"/>
    <col min="25" max="25" width="2.33203125" style="203" customWidth="1"/>
    <col min="26" max="26" width="12.5546875" customWidth="1"/>
    <col min="27" max="27" width="13.109375" hidden="1" customWidth="1"/>
    <col min="28" max="28" width="11.33203125" customWidth="1"/>
  </cols>
  <sheetData>
    <row r="1" spans="1:28" ht="13.8" thickBot="1">
      <c r="I1" s="78"/>
      <c r="J1" s="78"/>
      <c r="O1" t="s">
        <v>3604</v>
      </c>
      <c r="W1" s="80" t="s">
        <v>3583</v>
      </c>
      <c r="X1" s="80" t="s">
        <v>3584</v>
      </c>
    </row>
    <row r="2" spans="1:28" ht="47.4" thickBot="1">
      <c r="A2" s="211"/>
      <c r="B2" s="214" t="s">
        <v>3592</v>
      </c>
      <c r="C2" s="215" t="s">
        <v>3585</v>
      </c>
      <c r="D2" s="215" t="s">
        <v>3586</v>
      </c>
      <c r="E2" s="215" t="s">
        <v>3595</v>
      </c>
      <c r="F2" s="216" t="s">
        <v>3587</v>
      </c>
      <c r="G2" s="215" t="s">
        <v>3594</v>
      </c>
      <c r="H2" s="215" t="s">
        <v>3588</v>
      </c>
      <c r="I2" s="215" t="s">
        <v>3589</v>
      </c>
      <c r="J2" s="215" t="s">
        <v>3590</v>
      </c>
      <c r="K2" s="215" t="s">
        <v>3591</v>
      </c>
      <c r="L2" s="215" t="s">
        <v>3593</v>
      </c>
      <c r="M2" s="217" t="s">
        <v>2</v>
      </c>
      <c r="N2" s="211"/>
      <c r="O2" s="221">
        <v>15000</v>
      </c>
      <c r="Q2" s="194"/>
      <c r="R2" s="195" t="s">
        <v>3578</v>
      </c>
      <c r="S2" s="181"/>
      <c r="T2" s="181"/>
      <c r="U2" s="198" t="s">
        <v>3580</v>
      </c>
      <c r="W2" s="86">
        <v>0.13</v>
      </c>
      <c r="X2" s="86">
        <v>0</v>
      </c>
    </row>
    <row r="3" spans="1:28" ht="15">
      <c r="B3" s="223">
        <v>35795</v>
      </c>
      <c r="C3" s="224">
        <v>0</v>
      </c>
      <c r="D3" s="224">
        <v>0</v>
      </c>
      <c r="E3" s="224">
        <v>0</v>
      </c>
      <c r="F3" s="224">
        <v>0</v>
      </c>
      <c r="G3" s="224">
        <v>0</v>
      </c>
      <c r="H3" s="224">
        <v>0</v>
      </c>
      <c r="I3" s="224">
        <v>0</v>
      </c>
      <c r="J3" s="224">
        <v>90.07</v>
      </c>
      <c r="K3" s="224">
        <f>0</f>
        <v>0</v>
      </c>
      <c r="L3" s="224">
        <v>0</v>
      </c>
      <c r="M3" s="225">
        <v>0</v>
      </c>
      <c r="O3" s="222"/>
      <c r="Q3" s="193" t="s">
        <v>5</v>
      </c>
      <c r="R3" s="193" t="s">
        <v>3575</v>
      </c>
      <c r="S3" s="193" t="s">
        <v>3576</v>
      </c>
      <c r="T3" s="196" t="s">
        <v>3579</v>
      </c>
      <c r="U3" s="199" t="s">
        <v>3579</v>
      </c>
      <c r="W3" s="202" t="s">
        <v>3581</v>
      </c>
      <c r="X3" s="202" t="s">
        <v>3582</v>
      </c>
      <c r="Z3" s="202" t="s">
        <v>3581</v>
      </c>
      <c r="AA3" s="202" t="s">
        <v>3582</v>
      </c>
    </row>
    <row r="4" spans="1:28" ht="15">
      <c r="B4" s="226">
        <v>36160</v>
      </c>
      <c r="C4" s="227">
        <v>10000</v>
      </c>
      <c r="D4" s="227">
        <v>147</v>
      </c>
      <c r="E4" s="227">
        <v>46</v>
      </c>
      <c r="F4" s="227">
        <v>135</v>
      </c>
      <c r="G4" s="227">
        <v>58</v>
      </c>
      <c r="H4" s="228">
        <v>12658</v>
      </c>
      <c r="I4" s="227">
        <v>111</v>
      </c>
      <c r="J4" s="227">
        <v>113.95</v>
      </c>
      <c r="K4" s="228">
        <f>C4+K3+F4</f>
        <v>10135</v>
      </c>
      <c r="L4" s="228">
        <f>MAX(0.2*(H4-K4),0)</f>
        <v>504.6</v>
      </c>
      <c r="M4" s="229">
        <f>H4-L4</f>
        <v>12153.4</v>
      </c>
      <c r="O4" s="236">
        <f>M4*O$2/10000</f>
        <v>18230.099999999999</v>
      </c>
      <c r="Q4" s="192">
        <v>1975</v>
      </c>
      <c r="R4" s="192" t="s">
        <v>3577</v>
      </c>
      <c r="S4" s="192">
        <v>90.19</v>
      </c>
      <c r="T4" s="197">
        <v>0.3155</v>
      </c>
      <c r="U4" s="200">
        <v>0.37</v>
      </c>
      <c r="W4" s="82">
        <f>IF(T4&gt;W$2,W$2,IF(T4&lt;X$2,X$2,T4))</f>
        <v>0.13</v>
      </c>
      <c r="X4" s="82">
        <f>IF(U4&gt;W$2,W$2,IF(U4&lt;X$2,X$2,U4))</f>
        <v>0.13</v>
      </c>
      <c r="Y4" s="203" t="str">
        <f>IF(X4&gt;W4,"*","")</f>
        <v/>
      </c>
      <c r="Z4" s="204">
        <f>1*(1+W4)</f>
        <v>1.1299999999999999</v>
      </c>
      <c r="AA4" s="204">
        <f>1*(1+X4)</f>
        <v>1.1299999999999999</v>
      </c>
      <c r="AB4" s="204">
        <f>(1+U4)</f>
        <v>1.37</v>
      </c>
    </row>
    <row r="5" spans="1:28" ht="15">
      <c r="B5" s="226">
        <v>36525</v>
      </c>
      <c r="C5" s="227">
        <v>10000</v>
      </c>
      <c r="D5" s="227">
        <v>277</v>
      </c>
      <c r="E5" s="227">
        <v>195</v>
      </c>
      <c r="F5" s="227">
        <v>342</v>
      </c>
      <c r="G5" s="227">
        <v>130</v>
      </c>
      <c r="H5" s="228">
        <v>26800</v>
      </c>
      <c r="I5" s="227">
        <v>198</v>
      </c>
      <c r="J5" s="227">
        <v>135.33000000000001</v>
      </c>
      <c r="K5" s="228">
        <f t="shared" ref="K5:K23" si="0">C5+K4+F5</f>
        <v>20477</v>
      </c>
      <c r="L5" s="228">
        <f t="shared" ref="L5:L23" si="1">MAX(0.2*(H5-K5),0)</f>
        <v>1264.6000000000001</v>
      </c>
      <c r="M5" s="229">
        <f t="shared" ref="M5:M23" si="2">H5-L5</f>
        <v>25535.4</v>
      </c>
      <c r="O5" s="236">
        <f t="shared" ref="O5:O23" si="3">M5*O$2/10000</f>
        <v>38303.1</v>
      </c>
      <c r="Q5" s="192">
        <v>1976</v>
      </c>
      <c r="R5" s="192">
        <v>90.19</v>
      </c>
      <c r="S5" s="192">
        <v>107.46</v>
      </c>
      <c r="T5" s="197">
        <v>0.1915</v>
      </c>
      <c r="U5" s="200">
        <v>0.23830000000000001</v>
      </c>
      <c r="W5" s="82">
        <f t="shared" ref="W5:W10" si="4">IF(T5&gt;W$2,W$2,IF(T5&lt;X$2,X$2,T5))</f>
        <v>0.13</v>
      </c>
      <c r="X5" s="82">
        <f t="shared" ref="X5:X10" si="5">IF(U5&gt;W$2,W$2,IF(U5&lt;X$2,X$2,U5))</f>
        <v>0.13</v>
      </c>
      <c r="Y5" s="203" t="str">
        <f t="shared" ref="Y5:Y46" si="6">IF(X5&gt;W5,"*","")</f>
        <v/>
      </c>
      <c r="Z5" s="204">
        <f>Z4*(1+W5)</f>
        <v>1.2768999999999997</v>
      </c>
      <c r="AA5" s="204">
        <f>AA4*(1+X5)</f>
        <v>1.2768999999999997</v>
      </c>
      <c r="AB5" s="204">
        <f>AB4*(1+U5)</f>
        <v>1.6964710000000001</v>
      </c>
    </row>
    <row r="6" spans="1:28" ht="15">
      <c r="B6" s="226">
        <v>36891</v>
      </c>
      <c r="C6" s="227">
        <v>10000</v>
      </c>
      <c r="D6" s="227">
        <v>359</v>
      </c>
      <c r="E6" s="227">
        <v>0</v>
      </c>
      <c r="F6" s="227">
        <v>241</v>
      </c>
      <c r="G6" s="227">
        <v>119</v>
      </c>
      <c r="H6" s="228">
        <v>33839</v>
      </c>
      <c r="I6" s="227">
        <v>278</v>
      </c>
      <c r="J6" s="227">
        <v>121.86</v>
      </c>
      <c r="K6" s="228">
        <f t="shared" si="0"/>
        <v>30718</v>
      </c>
      <c r="L6" s="228">
        <f t="shared" si="1"/>
        <v>624.20000000000005</v>
      </c>
      <c r="M6" s="229">
        <f t="shared" si="2"/>
        <v>33214.800000000003</v>
      </c>
      <c r="O6" s="236">
        <f t="shared" si="3"/>
        <v>49822.200000000004</v>
      </c>
      <c r="Q6" s="192">
        <v>1977</v>
      </c>
      <c r="R6" s="192">
        <v>107.46</v>
      </c>
      <c r="S6" s="192">
        <v>95.1</v>
      </c>
      <c r="T6" s="197">
        <v>-0.115</v>
      </c>
      <c r="U6" s="200">
        <v>-6.9800000000000001E-2</v>
      </c>
      <c r="W6" s="82">
        <f t="shared" si="4"/>
        <v>0</v>
      </c>
      <c r="X6" s="82">
        <f t="shared" si="5"/>
        <v>0</v>
      </c>
      <c r="Y6" s="203" t="str">
        <f t="shared" si="6"/>
        <v/>
      </c>
      <c r="Z6" s="204">
        <f t="shared" ref="Z6:Z46" si="7">Z5*(1+W6)</f>
        <v>1.2768999999999997</v>
      </c>
      <c r="AA6" s="204">
        <f t="shared" ref="AA6:AA46" si="8">AA5*(1+X6)</f>
        <v>1.2768999999999997</v>
      </c>
      <c r="AB6" s="204">
        <f t="shared" ref="AB6:AB46" si="9">AB5*(1+U6)</f>
        <v>1.5780573242</v>
      </c>
    </row>
    <row r="7" spans="1:28" ht="15">
      <c r="B7" s="226">
        <v>37256</v>
      </c>
      <c r="C7" s="227">
        <v>10000</v>
      </c>
      <c r="D7" s="227">
        <v>456</v>
      </c>
      <c r="E7" s="227">
        <v>0</v>
      </c>
      <c r="F7" s="227">
        <v>306</v>
      </c>
      <c r="G7" s="227">
        <v>151</v>
      </c>
      <c r="H7" s="228">
        <v>38111</v>
      </c>
      <c r="I7" s="227">
        <v>360</v>
      </c>
      <c r="J7" s="227">
        <v>105.89</v>
      </c>
      <c r="K7" s="228">
        <f t="shared" si="0"/>
        <v>41024</v>
      </c>
      <c r="L7" s="228">
        <f t="shared" si="1"/>
        <v>0</v>
      </c>
      <c r="M7" s="229">
        <f t="shared" si="2"/>
        <v>38111</v>
      </c>
      <c r="O7" s="236">
        <f t="shared" si="3"/>
        <v>57166.5</v>
      </c>
      <c r="Q7" s="192">
        <v>1978</v>
      </c>
      <c r="R7" s="192">
        <v>95.1</v>
      </c>
      <c r="S7" s="192">
        <v>96.73</v>
      </c>
      <c r="T7" s="197">
        <v>1.7100000000000001E-2</v>
      </c>
      <c r="U7" s="200">
        <v>6.5100000000000005E-2</v>
      </c>
      <c r="W7" s="82">
        <f t="shared" si="4"/>
        <v>1.7100000000000001E-2</v>
      </c>
      <c r="X7" s="82">
        <f t="shared" si="5"/>
        <v>6.5100000000000005E-2</v>
      </c>
      <c r="Y7" s="203" t="str">
        <f t="shared" si="6"/>
        <v>*</v>
      </c>
      <c r="Z7" s="204">
        <f t="shared" si="7"/>
        <v>1.2987349899999996</v>
      </c>
      <c r="AA7" s="204">
        <f t="shared" si="8"/>
        <v>1.3600261899999997</v>
      </c>
      <c r="AB7" s="204">
        <f t="shared" si="9"/>
        <v>1.6807888560054198</v>
      </c>
    </row>
    <row r="8" spans="1:28" ht="15">
      <c r="B8" s="226">
        <v>37621</v>
      </c>
      <c r="C8" s="227">
        <v>10000</v>
      </c>
      <c r="D8" s="227">
        <v>622</v>
      </c>
      <c r="E8" s="227">
        <v>0</v>
      </c>
      <c r="F8" s="227">
        <v>417</v>
      </c>
      <c r="G8" s="227">
        <v>205</v>
      </c>
      <c r="H8" s="228">
        <v>37378</v>
      </c>
      <c r="I8" s="227">
        <v>461</v>
      </c>
      <c r="J8" s="227">
        <v>81.150000000000006</v>
      </c>
      <c r="K8" s="228">
        <f t="shared" si="0"/>
        <v>51441</v>
      </c>
      <c r="L8" s="228">
        <f t="shared" si="1"/>
        <v>0</v>
      </c>
      <c r="M8" s="229">
        <f t="shared" si="2"/>
        <v>37378</v>
      </c>
      <c r="O8" s="236">
        <f t="shared" si="3"/>
        <v>56067</v>
      </c>
      <c r="Q8" s="192">
        <v>1979</v>
      </c>
      <c r="R8" s="192">
        <v>96.73</v>
      </c>
      <c r="S8" s="192">
        <v>107.94</v>
      </c>
      <c r="T8" s="197">
        <v>0.1159</v>
      </c>
      <c r="U8" s="200">
        <v>0.1852</v>
      </c>
      <c r="W8" s="82">
        <f t="shared" si="4"/>
        <v>0.1159</v>
      </c>
      <c r="X8" s="82">
        <f t="shared" si="5"/>
        <v>0.13</v>
      </c>
      <c r="Y8" s="203" t="str">
        <f t="shared" si="6"/>
        <v>*</v>
      </c>
      <c r="Z8" s="204">
        <f t="shared" si="7"/>
        <v>1.4492583753409993</v>
      </c>
      <c r="AA8" s="204">
        <f t="shared" si="8"/>
        <v>1.5368295946999995</v>
      </c>
      <c r="AB8" s="204">
        <f t="shared" si="9"/>
        <v>1.9920709521376236</v>
      </c>
    </row>
    <row r="9" spans="1:28" ht="15">
      <c r="B9" s="226">
        <v>37986</v>
      </c>
      <c r="C9" s="227">
        <v>10000</v>
      </c>
      <c r="D9" s="227">
        <v>843</v>
      </c>
      <c r="E9" s="227">
        <v>0</v>
      </c>
      <c r="F9" s="227">
        <v>565</v>
      </c>
      <c r="G9" s="227">
        <v>278</v>
      </c>
      <c r="H9" s="228">
        <v>60915</v>
      </c>
      <c r="I9" s="227">
        <v>593</v>
      </c>
      <c r="J9" s="227">
        <v>102.67</v>
      </c>
      <c r="K9" s="228">
        <f t="shared" si="0"/>
        <v>62006</v>
      </c>
      <c r="L9" s="228">
        <f t="shared" si="1"/>
        <v>0</v>
      </c>
      <c r="M9" s="229">
        <f t="shared" si="2"/>
        <v>60915</v>
      </c>
      <c r="O9" s="236">
        <f t="shared" si="3"/>
        <v>91372.5</v>
      </c>
      <c r="Q9" s="192">
        <v>1980</v>
      </c>
      <c r="R9" s="192">
        <v>107.94</v>
      </c>
      <c r="S9" s="192">
        <v>135.76</v>
      </c>
      <c r="T9" s="197">
        <v>0.25769999999999998</v>
      </c>
      <c r="U9" s="200">
        <v>0.31740000000000002</v>
      </c>
      <c r="W9" s="82">
        <f t="shared" si="4"/>
        <v>0.13</v>
      </c>
      <c r="X9" s="82">
        <f t="shared" si="5"/>
        <v>0.13</v>
      </c>
      <c r="Y9" s="203" t="str">
        <f t="shared" si="6"/>
        <v/>
      </c>
      <c r="Z9" s="204">
        <f t="shared" si="7"/>
        <v>1.6376619641353292</v>
      </c>
      <c r="AA9" s="204">
        <f t="shared" si="8"/>
        <v>1.7366174420109992</v>
      </c>
      <c r="AB9" s="204">
        <f t="shared" si="9"/>
        <v>2.6243542723461055</v>
      </c>
    </row>
    <row r="10" spans="1:28" ht="15">
      <c r="B10" s="226">
        <v>38352</v>
      </c>
      <c r="C10" s="227">
        <v>10000</v>
      </c>
      <c r="D10" s="227">
        <v>1350</v>
      </c>
      <c r="E10" s="227">
        <v>0</v>
      </c>
      <c r="F10" s="227">
        <v>904</v>
      </c>
      <c r="G10" s="227">
        <v>445</v>
      </c>
      <c r="H10" s="228">
        <v>77864</v>
      </c>
      <c r="I10" s="227">
        <v>697</v>
      </c>
      <c r="J10" s="227">
        <v>111.64</v>
      </c>
      <c r="K10" s="228">
        <f t="shared" si="0"/>
        <v>72910</v>
      </c>
      <c r="L10" s="228">
        <f t="shared" si="1"/>
        <v>990.80000000000007</v>
      </c>
      <c r="M10" s="229">
        <f t="shared" si="2"/>
        <v>76873.2</v>
      </c>
      <c r="O10" s="236">
        <f t="shared" si="3"/>
        <v>115309.8</v>
      </c>
      <c r="Q10" s="192">
        <v>1981</v>
      </c>
      <c r="R10" s="192">
        <v>135.76</v>
      </c>
      <c r="S10" s="192">
        <v>122.55</v>
      </c>
      <c r="T10" s="197">
        <v>-9.7299999999999998E-2</v>
      </c>
      <c r="U10" s="200">
        <v>-4.7E-2</v>
      </c>
      <c r="W10" s="82">
        <f t="shared" si="4"/>
        <v>0</v>
      </c>
      <c r="X10" s="82">
        <f t="shared" si="5"/>
        <v>0</v>
      </c>
      <c r="Y10" s="203" t="str">
        <f t="shared" si="6"/>
        <v/>
      </c>
      <c r="Z10" s="204">
        <f t="shared" si="7"/>
        <v>1.6376619641353292</v>
      </c>
      <c r="AA10" s="204">
        <f t="shared" si="8"/>
        <v>1.7366174420109992</v>
      </c>
      <c r="AB10" s="204">
        <f t="shared" si="9"/>
        <v>2.5010096215458386</v>
      </c>
    </row>
    <row r="11" spans="1:28" ht="15">
      <c r="B11" s="226">
        <v>38717</v>
      </c>
      <c r="C11" s="227">
        <v>10000</v>
      </c>
      <c r="D11" s="227">
        <v>1570</v>
      </c>
      <c r="E11" s="227">
        <v>0</v>
      </c>
      <c r="F11" s="227">
        <v>1052</v>
      </c>
      <c r="G11" s="227">
        <v>518</v>
      </c>
      <c r="H11" s="228">
        <v>91786</v>
      </c>
      <c r="I11" s="227">
        <v>799</v>
      </c>
      <c r="J11" s="227">
        <v>114.92</v>
      </c>
      <c r="K11" s="228">
        <f t="shared" si="0"/>
        <v>83962</v>
      </c>
      <c r="L11" s="228">
        <f t="shared" si="1"/>
        <v>1564.8000000000002</v>
      </c>
      <c r="M11" s="229">
        <f t="shared" si="2"/>
        <v>90221.2</v>
      </c>
      <c r="O11" s="236">
        <f t="shared" si="3"/>
        <v>135331.79999999999</v>
      </c>
      <c r="Q11" s="192">
        <v>1982</v>
      </c>
      <c r="R11" s="192">
        <v>122.55</v>
      </c>
      <c r="S11" s="192">
        <v>140.63999999999999</v>
      </c>
      <c r="T11" s="197">
        <v>0.14760000000000001</v>
      </c>
      <c r="U11" s="200">
        <v>0.20419999999999999</v>
      </c>
      <c r="W11" s="82">
        <f t="shared" ref="W11:W38" si="10">IF(T11&gt;W$2,W$2,IF(T11&lt;X$2,X$2,T11))</f>
        <v>0.13</v>
      </c>
      <c r="X11" s="82">
        <f t="shared" ref="X11:X38" si="11">IF(U11&gt;W$2,W$2,IF(U11&lt;X$2,X$2,U11))</f>
        <v>0.13</v>
      </c>
      <c r="Y11" s="203" t="str">
        <f t="shared" si="6"/>
        <v/>
      </c>
      <c r="Z11" s="204">
        <f t="shared" si="7"/>
        <v>1.8505580194729219</v>
      </c>
      <c r="AA11" s="204">
        <f t="shared" si="8"/>
        <v>1.9623777094724288</v>
      </c>
      <c r="AB11" s="204">
        <f t="shared" si="9"/>
        <v>3.0117157862654986</v>
      </c>
    </row>
    <row r="12" spans="1:28" ht="15">
      <c r="B12" s="226">
        <v>39082</v>
      </c>
      <c r="C12" s="227">
        <v>10000</v>
      </c>
      <c r="D12" s="227">
        <v>1899</v>
      </c>
      <c r="E12" s="227">
        <v>0</v>
      </c>
      <c r="F12" s="227">
        <v>1272</v>
      </c>
      <c r="G12" s="227">
        <v>627</v>
      </c>
      <c r="H12" s="228">
        <v>116734</v>
      </c>
      <c r="I12" s="227">
        <v>894</v>
      </c>
      <c r="J12" s="227">
        <v>130.59</v>
      </c>
      <c r="K12" s="228">
        <f t="shared" si="0"/>
        <v>95234</v>
      </c>
      <c r="L12" s="228">
        <f t="shared" si="1"/>
        <v>4300</v>
      </c>
      <c r="M12" s="229">
        <f t="shared" si="2"/>
        <v>112434</v>
      </c>
      <c r="O12" s="236">
        <f t="shared" si="3"/>
        <v>168651</v>
      </c>
      <c r="Q12" s="192">
        <v>1983</v>
      </c>
      <c r="R12" s="192">
        <v>140.63999999999999</v>
      </c>
      <c r="S12" s="192">
        <v>164.93</v>
      </c>
      <c r="T12" s="197">
        <v>0.17269999999999999</v>
      </c>
      <c r="U12" s="200">
        <v>0.22339999999999999</v>
      </c>
      <c r="W12" s="82">
        <f t="shared" si="10"/>
        <v>0.13</v>
      </c>
      <c r="X12" s="82">
        <f t="shared" si="11"/>
        <v>0.13</v>
      </c>
      <c r="Y12" s="203" t="str">
        <f t="shared" si="6"/>
        <v/>
      </c>
      <c r="Z12" s="204">
        <f t="shared" si="7"/>
        <v>2.0911305620044014</v>
      </c>
      <c r="AA12" s="204">
        <f t="shared" si="8"/>
        <v>2.2174868117038442</v>
      </c>
      <c r="AB12" s="204">
        <f t="shared" si="9"/>
        <v>3.6845330929172113</v>
      </c>
    </row>
    <row r="13" spans="1:28" ht="15">
      <c r="B13" s="226">
        <v>39447</v>
      </c>
      <c r="C13" s="227">
        <v>10000</v>
      </c>
      <c r="D13" s="227">
        <v>2425</v>
      </c>
      <c r="E13" s="227">
        <v>0</v>
      </c>
      <c r="F13" s="227">
        <v>1625</v>
      </c>
      <c r="G13" s="227">
        <v>800</v>
      </c>
      <c r="H13" s="228">
        <v>132611</v>
      </c>
      <c r="I13" s="227">
        <v>981</v>
      </c>
      <c r="J13" s="227">
        <v>135.15</v>
      </c>
      <c r="K13" s="228">
        <f t="shared" si="0"/>
        <v>106859</v>
      </c>
      <c r="L13" s="228">
        <f t="shared" si="1"/>
        <v>5150.4000000000005</v>
      </c>
      <c r="M13" s="229">
        <f t="shared" si="2"/>
        <v>127460.6</v>
      </c>
      <c r="O13" s="236">
        <f t="shared" si="3"/>
        <v>191190.9</v>
      </c>
      <c r="Q13" s="192">
        <v>1984</v>
      </c>
      <c r="R13" s="192">
        <v>164.93</v>
      </c>
      <c r="S13" s="192">
        <v>167.24</v>
      </c>
      <c r="T13" s="197">
        <v>1.4E-2</v>
      </c>
      <c r="U13" s="200">
        <v>6.1499999999999999E-2</v>
      </c>
      <c r="W13" s="82">
        <f t="shared" si="10"/>
        <v>1.4E-2</v>
      </c>
      <c r="X13" s="82">
        <f t="shared" si="11"/>
        <v>6.1499999999999999E-2</v>
      </c>
      <c r="Y13" s="203" t="str">
        <f t="shared" si="6"/>
        <v>*</v>
      </c>
      <c r="Z13" s="204">
        <f t="shared" si="7"/>
        <v>2.1204063898724632</v>
      </c>
      <c r="AA13" s="204">
        <f t="shared" si="8"/>
        <v>2.3538622506236311</v>
      </c>
      <c r="AB13" s="204">
        <f t="shared" si="9"/>
        <v>3.91113187813162</v>
      </c>
    </row>
    <row r="14" spans="1:28" ht="15">
      <c r="B14" s="226">
        <v>39813</v>
      </c>
      <c r="C14" s="227">
        <v>10000</v>
      </c>
      <c r="D14" s="227">
        <v>2669</v>
      </c>
      <c r="E14" s="227">
        <v>0</v>
      </c>
      <c r="F14" s="227">
        <v>1788</v>
      </c>
      <c r="G14" s="227">
        <v>881</v>
      </c>
      <c r="H14" s="228">
        <v>89505</v>
      </c>
      <c r="I14" s="227">
        <v>1077</v>
      </c>
      <c r="J14" s="227">
        <v>83.09</v>
      </c>
      <c r="K14" s="228">
        <f t="shared" si="0"/>
        <v>118647</v>
      </c>
      <c r="L14" s="228">
        <f t="shared" si="1"/>
        <v>0</v>
      </c>
      <c r="M14" s="229">
        <f t="shared" si="2"/>
        <v>89505</v>
      </c>
      <c r="O14" s="236">
        <f t="shared" si="3"/>
        <v>134257.5</v>
      </c>
      <c r="Q14" s="192">
        <v>1985</v>
      </c>
      <c r="R14" s="192">
        <v>167.24</v>
      </c>
      <c r="S14" s="192">
        <v>211.28</v>
      </c>
      <c r="T14" s="197">
        <v>0.26329999999999998</v>
      </c>
      <c r="U14" s="200">
        <v>0.31240000000000001</v>
      </c>
      <c r="W14" s="82">
        <f t="shared" si="10"/>
        <v>0.13</v>
      </c>
      <c r="X14" s="82">
        <f t="shared" si="11"/>
        <v>0.13</v>
      </c>
      <c r="Y14" s="203" t="str">
        <f t="shared" si="6"/>
        <v/>
      </c>
      <c r="Z14" s="204">
        <f t="shared" si="7"/>
        <v>2.3960592205558831</v>
      </c>
      <c r="AA14" s="204">
        <f t="shared" si="8"/>
        <v>2.6598643432047027</v>
      </c>
      <c r="AB14" s="204">
        <f t="shared" si="9"/>
        <v>5.1329694768599383</v>
      </c>
    </row>
    <row r="15" spans="1:28" ht="15">
      <c r="B15" s="226">
        <v>40178</v>
      </c>
      <c r="C15" s="227">
        <v>10000</v>
      </c>
      <c r="D15" s="227">
        <v>2559</v>
      </c>
      <c r="E15" s="227">
        <v>0</v>
      </c>
      <c r="F15" s="227">
        <v>1715</v>
      </c>
      <c r="G15" s="227">
        <v>845</v>
      </c>
      <c r="H15" s="228">
        <v>126048</v>
      </c>
      <c r="I15" s="227">
        <v>1228</v>
      </c>
      <c r="J15" s="227">
        <v>102.67</v>
      </c>
      <c r="K15" s="228">
        <f t="shared" si="0"/>
        <v>130362</v>
      </c>
      <c r="L15" s="228">
        <f t="shared" si="1"/>
        <v>0</v>
      </c>
      <c r="M15" s="229">
        <f t="shared" si="2"/>
        <v>126048</v>
      </c>
      <c r="O15" s="236">
        <f t="shared" si="3"/>
        <v>189072</v>
      </c>
      <c r="Q15" s="192">
        <v>1986</v>
      </c>
      <c r="R15" s="192">
        <v>211.28</v>
      </c>
      <c r="S15" s="192">
        <v>242.17</v>
      </c>
      <c r="T15" s="197">
        <v>0.1462</v>
      </c>
      <c r="U15" s="200">
        <v>0.18490000000000001</v>
      </c>
      <c r="W15" s="82">
        <f t="shared" si="10"/>
        <v>0.13</v>
      </c>
      <c r="X15" s="82">
        <f t="shared" si="11"/>
        <v>0.13</v>
      </c>
      <c r="Y15" s="203" t="str">
        <f t="shared" si="6"/>
        <v/>
      </c>
      <c r="Z15" s="204">
        <f t="shared" si="7"/>
        <v>2.7075469192281476</v>
      </c>
      <c r="AA15" s="204">
        <f t="shared" si="8"/>
        <v>3.0056467078213136</v>
      </c>
      <c r="AB15" s="204">
        <f t="shared" si="9"/>
        <v>6.0820555331313413</v>
      </c>
    </row>
    <row r="16" spans="1:28" ht="15">
      <c r="B16" s="226">
        <v>40543</v>
      </c>
      <c r="C16" s="227">
        <v>10000</v>
      </c>
      <c r="D16" s="227">
        <v>2625</v>
      </c>
      <c r="E16" s="227">
        <v>0</v>
      </c>
      <c r="F16" s="227">
        <v>1759</v>
      </c>
      <c r="G16" s="227">
        <v>866</v>
      </c>
      <c r="H16" s="228">
        <v>155815</v>
      </c>
      <c r="I16" s="227">
        <v>1345</v>
      </c>
      <c r="J16" s="227">
        <v>115.82</v>
      </c>
      <c r="K16" s="228">
        <f t="shared" si="0"/>
        <v>142121</v>
      </c>
      <c r="L16" s="228">
        <f t="shared" si="1"/>
        <v>2738.8</v>
      </c>
      <c r="M16" s="229">
        <f t="shared" si="2"/>
        <v>153076.20000000001</v>
      </c>
      <c r="O16" s="236">
        <f t="shared" si="3"/>
        <v>229614.3</v>
      </c>
      <c r="Q16" s="192">
        <v>1987</v>
      </c>
      <c r="R16" s="192">
        <v>242.17</v>
      </c>
      <c r="S16" s="192">
        <v>247.08</v>
      </c>
      <c r="T16" s="197">
        <v>2.0299999999999999E-2</v>
      </c>
      <c r="U16" s="200">
        <v>5.8099999999999999E-2</v>
      </c>
      <c r="W16" s="82">
        <f t="shared" si="10"/>
        <v>2.0299999999999999E-2</v>
      </c>
      <c r="X16" s="82">
        <f t="shared" si="11"/>
        <v>5.8099999999999999E-2</v>
      </c>
      <c r="Y16" s="203" t="str">
        <f t="shared" si="6"/>
        <v>*</v>
      </c>
      <c r="Z16" s="204">
        <f t="shared" si="7"/>
        <v>2.7625101216884791</v>
      </c>
      <c r="AA16" s="204">
        <f t="shared" si="8"/>
        <v>3.180274781545732</v>
      </c>
      <c r="AB16" s="204">
        <f t="shared" si="9"/>
        <v>6.4354229596062726</v>
      </c>
    </row>
    <row r="17" spans="1:29" ht="15">
      <c r="B17" s="226">
        <v>40908</v>
      </c>
      <c r="C17" s="227">
        <v>10000</v>
      </c>
      <c r="D17" s="227">
        <v>3227</v>
      </c>
      <c r="E17" s="227">
        <v>0</v>
      </c>
      <c r="F17" s="227">
        <v>2162</v>
      </c>
      <c r="G17" s="227">
        <v>1065</v>
      </c>
      <c r="H17" s="228">
        <v>167751</v>
      </c>
      <c r="I17" s="227">
        <v>1449</v>
      </c>
      <c r="J17" s="227">
        <v>115.8</v>
      </c>
      <c r="K17" s="228">
        <f t="shared" si="0"/>
        <v>154283</v>
      </c>
      <c r="L17" s="228">
        <f t="shared" si="1"/>
        <v>2693.6000000000004</v>
      </c>
      <c r="M17" s="229">
        <f t="shared" si="2"/>
        <v>165057.4</v>
      </c>
      <c r="O17" s="236">
        <f t="shared" si="3"/>
        <v>247586.1</v>
      </c>
      <c r="Q17" s="192">
        <v>1988</v>
      </c>
      <c r="R17" s="192">
        <v>247.08</v>
      </c>
      <c r="S17" s="192">
        <v>277.72000000000003</v>
      </c>
      <c r="T17" s="197">
        <v>0.124</v>
      </c>
      <c r="U17" s="200">
        <v>0.16539999999999999</v>
      </c>
      <c r="W17" s="82">
        <f t="shared" si="10"/>
        <v>0.124</v>
      </c>
      <c r="X17" s="82">
        <f t="shared" si="11"/>
        <v>0.13</v>
      </c>
      <c r="Y17" s="203" t="str">
        <f t="shared" si="6"/>
        <v>*</v>
      </c>
      <c r="Z17" s="204">
        <f t="shared" si="7"/>
        <v>3.1050613767778508</v>
      </c>
      <c r="AA17" s="204">
        <f t="shared" si="8"/>
        <v>3.5937105031466769</v>
      </c>
      <c r="AB17" s="204">
        <f t="shared" si="9"/>
        <v>7.49984191712515</v>
      </c>
    </row>
    <row r="18" spans="1:29" ht="15">
      <c r="B18" s="226">
        <v>41274</v>
      </c>
      <c r="C18" s="227">
        <v>10000</v>
      </c>
      <c r="D18" s="227">
        <v>4155</v>
      </c>
      <c r="E18" s="227">
        <v>0</v>
      </c>
      <c r="F18" s="227">
        <v>2784</v>
      </c>
      <c r="G18" s="227">
        <v>1371</v>
      </c>
      <c r="H18" s="228">
        <v>203985</v>
      </c>
      <c r="I18" s="227">
        <v>1553</v>
      </c>
      <c r="J18" s="227">
        <v>131.37</v>
      </c>
      <c r="K18" s="228">
        <f t="shared" si="0"/>
        <v>167067</v>
      </c>
      <c r="L18" s="228">
        <f t="shared" si="1"/>
        <v>7383.6</v>
      </c>
      <c r="M18" s="229">
        <f t="shared" si="2"/>
        <v>196601.4</v>
      </c>
      <c r="O18" s="236">
        <f t="shared" si="3"/>
        <v>294902.09999999998</v>
      </c>
      <c r="Q18" s="192">
        <v>1989</v>
      </c>
      <c r="R18" s="192">
        <v>277.72000000000003</v>
      </c>
      <c r="S18" s="192">
        <v>353.4</v>
      </c>
      <c r="T18" s="197">
        <v>0.27250000000000002</v>
      </c>
      <c r="U18" s="200">
        <v>0.31480000000000002</v>
      </c>
      <c r="W18" s="82">
        <f t="shared" si="10"/>
        <v>0.13</v>
      </c>
      <c r="X18" s="82">
        <f t="shared" si="11"/>
        <v>0.13</v>
      </c>
      <c r="Y18" s="203" t="str">
        <f t="shared" si="6"/>
        <v/>
      </c>
      <c r="Z18" s="204">
        <f t="shared" si="7"/>
        <v>3.5087193557589709</v>
      </c>
      <c r="AA18" s="204">
        <f t="shared" si="8"/>
        <v>4.0608928685557446</v>
      </c>
      <c r="AB18" s="204">
        <f t="shared" si="9"/>
        <v>9.8607921526361473</v>
      </c>
    </row>
    <row r="19" spans="1:29" ht="15">
      <c r="B19" s="226">
        <v>41639</v>
      </c>
      <c r="C19" s="227">
        <v>10000</v>
      </c>
      <c r="D19" s="227">
        <v>4815</v>
      </c>
      <c r="E19" s="227">
        <v>0</v>
      </c>
      <c r="F19" s="227">
        <v>3226</v>
      </c>
      <c r="G19" s="227">
        <v>1589</v>
      </c>
      <c r="H19" s="228">
        <v>280419</v>
      </c>
      <c r="I19" s="227">
        <v>1646</v>
      </c>
      <c r="J19" s="227">
        <v>170.36</v>
      </c>
      <c r="K19" s="228">
        <f t="shared" si="0"/>
        <v>180293</v>
      </c>
      <c r="L19" s="228">
        <f t="shared" si="1"/>
        <v>20025.2</v>
      </c>
      <c r="M19" s="229">
        <f t="shared" si="2"/>
        <v>260393.8</v>
      </c>
      <c r="O19" s="236">
        <f t="shared" si="3"/>
        <v>390590.7</v>
      </c>
      <c r="Q19" s="192">
        <v>1990</v>
      </c>
      <c r="R19" s="192">
        <v>353.4</v>
      </c>
      <c r="S19" s="192">
        <v>330.22</v>
      </c>
      <c r="T19" s="197">
        <v>-6.5600000000000006E-2</v>
      </c>
      <c r="U19" s="200">
        <v>-3.0599999999999999E-2</v>
      </c>
      <c r="W19" s="82">
        <f t="shared" si="10"/>
        <v>0</v>
      </c>
      <c r="X19" s="82">
        <f t="shared" si="11"/>
        <v>0</v>
      </c>
      <c r="Y19" s="203" t="str">
        <f t="shared" si="6"/>
        <v/>
      </c>
      <c r="Z19" s="204">
        <f t="shared" si="7"/>
        <v>3.5087193557589709</v>
      </c>
      <c r="AA19" s="204">
        <f t="shared" si="8"/>
        <v>4.0608928685557446</v>
      </c>
      <c r="AB19" s="204">
        <f t="shared" si="9"/>
        <v>9.5590519127654812</v>
      </c>
    </row>
    <row r="20" spans="1:29" ht="15">
      <c r="B20" s="226">
        <v>42004</v>
      </c>
      <c r="C20" s="227">
        <v>10000</v>
      </c>
      <c r="D20" s="227">
        <v>5664</v>
      </c>
      <c r="E20" s="227">
        <v>0</v>
      </c>
      <c r="F20" s="227">
        <v>3795</v>
      </c>
      <c r="G20" s="227">
        <v>1869</v>
      </c>
      <c r="H20" s="228">
        <v>328087</v>
      </c>
      <c r="I20" s="227">
        <v>1728</v>
      </c>
      <c r="J20" s="227">
        <v>189.89</v>
      </c>
      <c r="K20" s="228">
        <f t="shared" si="0"/>
        <v>194088</v>
      </c>
      <c r="L20" s="228">
        <f t="shared" si="1"/>
        <v>26799.800000000003</v>
      </c>
      <c r="M20" s="229">
        <f t="shared" si="2"/>
        <v>301287.2</v>
      </c>
      <c r="O20" s="236">
        <f t="shared" si="3"/>
        <v>451930.8</v>
      </c>
      <c r="Q20" s="192">
        <v>1991</v>
      </c>
      <c r="R20" s="192">
        <v>330.22</v>
      </c>
      <c r="S20" s="192">
        <v>417.09</v>
      </c>
      <c r="T20" s="197">
        <v>0.2631</v>
      </c>
      <c r="U20" s="200">
        <v>0.30230000000000001</v>
      </c>
      <c r="W20" s="82">
        <f t="shared" si="10"/>
        <v>0.13</v>
      </c>
      <c r="X20" s="82">
        <f t="shared" si="11"/>
        <v>0.13</v>
      </c>
      <c r="Y20" s="203" t="str">
        <f t="shared" si="6"/>
        <v/>
      </c>
      <c r="Z20" s="204">
        <f t="shared" si="7"/>
        <v>3.9648528720076368</v>
      </c>
      <c r="AA20" s="204">
        <f t="shared" si="8"/>
        <v>4.5888089414679909</v>
      </c>
      <c r="AB20" s="204">
        <f t="shared" si="9"/>
        <v>12.448753305994487</v>
      </c>
    </row>
    <row r="21" spans="1:29" ht="15">
      <c r="B21" s="226">
        <v>42369</v>
      </c>
      <c r="C21" s="227">
        <v>10000</v>
      </c>
      <c r="D21" s="227">
        <v>6710</v>
      </c>
      <c r="E21" s="227">
        <v>0</v>
      </c>
      <c r="F21" s="227">
        <v>4496</v>
      </c>
      <c r="G21" s="227">
        <v>2214</v>
      </c>
      <c r="H21" s="228">
        <v>340389</v>
      </c>
      <c r="I21" s="227">
        <v>1806</v>
      </c>
      <c r="J21" s="227">
        <v>188.48</v>
      </c>
      <c r="K21" s="228">
        <f t="shared" si="0"/>
        <v>208584</v>
      </c>
      <c r="L21" s="228">
        <f t="shared" si="1"/>
        <v>26361</v>
      </c>
      <c r="M21" s="229">
        <f t="shared" si="2"/>
        <v>314028</v>
      </c>
      <c r="O21" s="236">
        <f t="shared" si="3"/>
        <v>471042</v>
      </c>
      <c r="Q21" s="192">
        <v>1992</v>
      </c>
      <c r="R21" s="192">
        <v>417.09</v>
      </c>
      <c r="S21" s="192">
        <v>435.71</v>
      </c>
      <c r="T21" s="197">
        <v>4.4600000000000001E-2</v>
      </c>
      <c r="U21" s="200">
        <v>7.4899999999999994E-2</v>
      </c>
      <c r="W21" s="82">
        <f t="shared" si="10"/>
        <v>4.4600000000000001E-2</v>
      </c>
      <c r="X21" s="82">
        <f t="shared" si="11"/>
        <v>7.4899999999999994E-2</v>
      </c>
      <c r="Y21" s="203" t="str">
        <f t="shared" si="6"/>
        <v>*</v>
      </c>
      <c r="Z21" s="204">
        <f t="shared" si="7"/>
        <v>4.1416853100991773</v>
      </c>
      <c r="AA21" s="204">
        <f t="shared" si="8"/>
        <v>4.9325107311839433</v>
      </c>
      <c r="AB21" s="204">
        <f t="shared" si="9"/>
        <v>13.381164928613472</v>
      </c>
    </row>
    <row r="22" spans="1:29" ht="15">
      <c r="B22" s="226">
        <v>42735</v>
      </c>
      <c r="C22" s="227">
        <v>10000</v>
      </c>
      <c r="D22" s="227">
        <v>7441</v>
      </c>
      <c r="E22" s="227">
        <v>0</v>
      </c>
      <c r="F22" s="227">
        <v>4985</v>
      </c>
      <c r="G22" s="227">
        <v>2455</v>
      </c>
      <c r="H22" s="228">
        <v>389797</v>
      </c>
      <c r="I22" s="227">
        <v>1887</v>
      </c>
      <c r="J22" s="227">
        <v>206.57</v>
      </c>
      <c r="K22" s="228">
        <f t="shared" si="0"/>
        <v>223569</v>
      </c>
      <c r="L22" s="228">
        <f t="shared" si="1"/>
        <v>33245.599999999999</v>
      </c>
      <c r="M22" s="229">
        <f t="shared" si="2"/>
        <v>356551.4</v>
      </c>
      <c r="O22" s="236">
        <f t="shared" si="3"/>
        <v>534827.1</v>
      </c>
      <c r="Q22" s="192">
        <v>1993</v>
      </c>
      <c r="R22" s="192">
        <v>435.71</v>
      </c>
      <c r="S22" s="192">
        <v>466.45</v>
      </c>
      <c r="T22" s="197">
        <v>7.0599999999999996E-2</v>
      </c>
      <c r="U22" s="200">
        <v>9.9699999999999997E-2</v>
      </c>
      <c r="W22" s="82">
        <f t="shared" si="10"/>
        <v>7.0599999999999996E-2</v>
      </c>
      <c r="X22" s="82">
        <f t="shared" si="11"/>
        <v>9.9699999999999997E-2</v>
      </c>
      <c r="Y22" s="203" t="str">
        <f t="shared" si="6"/>
        <v>*</v>
      </c>
      <c r="Z22" s="204">
        <f t="shared" si="7"/>
        <v>4.434088292992179</v>
      </c>
      <c r="AA22" s="204">
        <f t="shared" si="8"/>
        <v>5.4242820510829821</v>
      </c>
      <c r="AB22" s="204">
        <f t="shared" si="9"/>
        <v>14.715267071996234</v>
      </c>
    </row>
    <row r="23" spans="1:29" ht="15.6" thickBot="1">
      <c r="B23" s="230">
        <v>43100</v>
      </c>
      <c r="C23" s="231">
        <v>10000</v>
      </c>
      <c r="D23" s="231">
        <v>8117</v>
      </c>
      <c r="E23" s="231">
        <v>0</v>
      </c>
      <c r="F23" s="231">
        <v>5438</v>
      </c>
      <c r="G23" s="231">
        <v>2679</v>
      </c>
      <c r="H23" s="232">
        <v>483307</v>
      </c>
      <c r="I23" s="231">
        <v>1958</v>
      </c>
      <c r="J23" s="231">
        <v>246.82</v>
      </c>
      <c r="K23" s="232">
        <f t="shared" si="0"/>
        <v>239007</v>
      </c>
      <c r="L23" s="232">
        <f t="shared" si="1"/>
        <v>48860</v>
      </c>
      <c r="M23" s="233">
        <f t="shared" si="2"/>
        <v>434447</v>
      </c>
      <c r="O23" s="236">
        <f t="shared" si="3"/>
        <v>651670.5</v>
      </c>
      <c r="Q23" s="192">
        <v>1994</v>
      </c>
      <c r="R23" s="192">
        <v>466.45</v>
      </c>
      <c r="S23" s="192">
        <v>459.27</v>
      </c>
      <c r="T23" s="197">
        <v>-1.54E-2</v>
      </c>
      <c r="U23" s="200">
        <v>1.3299999999999999E-2</v>
      </c>
      <c r="W23" s="82">
        <f t="shared" si="10"/>
        <v>0</v>
      </c>
      <c r="X23" s="82">
        <f t="shared" si="11"/>
        <v>1.3299999999999999E-2</v>
      </c>
      <c r="Y23" s="203" t="str">
        <f t="shared" si="6"/>
        <v>*</v>
      </c>
      <c r="Z23" s="204">
        <f t="shared" si="7"/>
        <v>4.434088292992179</v>
      </c>
      <c r="AA23" s="204">
        <f t="shared" si="8"/>
        <v>5.4964250023623862</v>
      </c>
      <c r="AB23" s="204">
        <f t="shared" si="9"/>
        <v>14.910980124053784</v>
      </c>
    </row>
    <row r="24" spans="1:29" ht="15">
      <c r="B24" s="234" t="s">
        <v>3572</v>
      </c>
      <c r="C24" s="235">
        <v>200000</v>
      </c>
      <c r="D24" s="234">
        <v>57930</v>
      </c>
      <c r="E24" s="234">
        <v>242</v>
      </c>
      <c r="F24" s="235">
        <v>39006</v>
      </c>
      <c r="G24" s="234">
        <v>19165</v>
      </c>
      <c r="H24" s="212"/>
      <c r="I24" s="213"/>
      <c r="J24" s="213"/>
      <c r="K24" s="212"/>
      <c r="L24" s="212"/>
      <c r="M24" s="212"/>
      <c r="Q24" s="192">
        <v>1995</v>
      </c>
      <c r="R24" s="192">
        <v>459.27</v>
      </c>
      <c r="S24" s="192">
        <v>615.92999999999995</v>
      </c>
      <c r="T24" s="197">
        <v>0.34110000000000001</v>
      </c>
      <c r="U24" s="200">
        <v>0.372</v>
      </c>
      <c r="W24" s="82">
        <f t="shared" si="10"/>
        <v>0.13</v>
      </c>
      <c r="X24" s="82">
        <f t="shared" si="11"/>
        <v>0.13</v>
      </c>
      <c r="Y24" s="203" t="str">
        <f t="shared" si="6"/>
        <v/>
      </c>
      <c r="Z24" s="204">
        <f t="shared" si="7"/>
        <v>5.010519771081162</v>
      </c>
      <c r="AA24" s="204">
        <f t="shared" si="8"/>
        <v>6.210960252669496</v>
      </c>
      <c r="AB24" s="204">
        <f t="shared" si="9"/>
        <v>20.457864730201791</v>
      </c>
    </row>
    <row r="25" spans="1:29">
      <c r="Q25" s="192">
        <v>1996</v>
      </c>
      <c r="R25" s="192">
        <v>615.92999999999995</v>
      </c>
      <c r="S25" s="192">
        <v>740.74</v>
      </c>
      <c r="T25" s="197">
        <v>0.2026</v>
      </c>
      <c r="U25" s="200">
        <v>0.2382</v>
      </c>
      <c r="W25" s="82">
        <f t="shared" si="10"/>
        <v>0.13</v>
      </c>
      <c r="X25" s="82">
        <f t="shared" si="11"/>
        <v>0.13</v>
      </c>
      <c r="Y25" s="203" t="str">
        <f t="shared" si="6"/>
        <v/>
      </c>
      <c r="Z25" s="204">
        <f t="shared" si="7"/>
        <v>5.6618873413217123</v>
      </c>
      <c r="AA25" s="204">
        <f t="shared" si="8"/>
        <v>7.0183850855165302</v>
      </c>
      <c r="AB25" s="204">
        <f t="shared" si="9"/>
        <v>25.330928108935858</v>
      </c>
    </row>
    <row r="26" spans="1:29">
      <c r="Q26" s="192">
        <v>1997</v>
      </c>
      <c r="R26" s="192">
        <v>740.74</v>
      </c>
      <c r="S26" s="192">
        <v>970.43</v>
      </c>
      <c r="T26" s="197">
        <v>0.31009999999999999</v>
      </c>
      <c r="U26" s="200">
        <v>0.31859999999999999</v>
      </c>
      <c r="W26" s="82">
        <f t="shared" si="10"/>
        <v>0.13</v>
      </c>
      <c r="X26" s="82">
        <f t="shared" si="11"/>
        <v>0.13</v>
      </c>
      <c r="Y26" s="203" t="str">
        <f t="shared" si="6"/>
        <v/>
      </c>
      <c r="Z26" s="206">
        <v>1</v>
      </c>
      <c r="AA26" s="206">
        <v>1</v>
      </c>
      <c r="AB26" s="206">
        <v>1</v>
      </c>
      <c r="AC26" s="207"/>
    </row>
    <row r="27" spans="1:29">
      <c r="Q27" s="192">
        <v>1998</v>
      </c>
      <c r="R27" s="192">
        <v>970.43</v>
      </c>
      <c r="S27" s="192">
        <v>1229.23</v>
      </c>
      <c r="T27" s="197">
        <v>0.26669999999999999</v>
      </c>
      <c r="U27" s="200">
        <v>0.28339999999999999</v>
      </c>
      <c r="W27" s="82">
        <f t="shared" si="10"/>
        <v>0.13</v>
      </c>
      <c r="X27" s="82">
        <f t="shared" si="11"/>
        <v>0.13</v>
      </c>
      <c r="Y27" s="203" t="str">
        <f t="shared" si="6"/>
        <v/>
      </c>
      <c r="Z27" s="204">
        <f t="shared" si="7"/>
        <v>1.1299999999999999</v>
      </c>
      <c r="AA27" s="204">
        <f t="shared" si="8"/>
        <v>1.1299999999999999</v>
      </c>
      <c r="AB27" s="204">
        <f t="shared" si="9"/>
        <v>1.2833999999999999</v>
      </c>
    </row>
    <row r="28" spans="1:29" ht="13.8" thickBot="1">
      <c r="I28" s="78"/>
      <c r="J28" s="78"/>
      <c r="O28" t="s">
        <v>3604</v>
      </c>
      <c r="Q28" s="192">
        <v>1999</v>
      </c>
      <c r="R28" s="192">
        <v>1229.23</v>
      </c>
      <c r="S28" s="192">
        <v>1469.25</v>
      </c>
      <c r="T28" s="197">
        <v>0.1953</v>
      </c>
      <c r="U28" s="200">
        <v>0.2089</v>
      </c>
      <c r="W28" s="82">
        <f t="shared" si="10"/>
        <v>0.13</v>
      </c>
      <c r="X28" s="82">
        <f t="shared" si="11"/>
        <v>0.13</v>
      </c>
      <c r="Y28" s="203" t="str">
        <f t="shared" si="6"/>
        <v/>
      </c>
      <c r="Z28" s="204">
        <f t="shared" si="7"/>
        <v>1.2768999999999997</v>
      </c>
      <c r="AA28" s="204">
        <f t="shared" si="8"/>
        <v>1.2768999999999997</v>
      </c>
      <c r="AB28" s="204">
        <f t="shared" si="9"/>
        <v>1.5515022599999999</v>
      </c>
    </row>
    <row r="29" spans="1:29" ht="47.4" thickBot="1">
      <c r="A29" s="211"/>
      <c r="B29" s="214" t="s">
        <v>3592</v>
      </c>
      <c r="C29" s="215" t="s">
        <v>3585</v>
      </c>
      <c r="D29" s="215" t="s">
        <v>3586</v>
      </c>
      <c r="E29" s="215" t="s">
        <v>3595</v>
      </c>
      <c r="F29" s="216" t="s">
        <v>3587</v>
      </c>
      <c r="G29" s="215" t="s">
        <v>3594</v>
      </c>
      <c r="H29" s="215" t="s">
        <v>3588</v>
      </c>
      <c r="I29" s="215" t="s">
        <v>3589</v>
      </c>
      <c r="J29" s="215" t="s">
        <v>3590</v>
      </c>
      <c r="K29" s="215" t="s">
        <v>3591</v>
      </c>
      <c r="L29" s="215" t="s">
        <v>3593</v>
      </c>
      <c r="M29" s="217" t="s">
        <v>2</v>
      </c>
      <c r="N29" s="211"/>
      <c r="O29" s="221">
        <f>Investment!D7</f>
        <v>-50000</v>
      </c>
      <c r="Q29" s="192">
        <v>2000</v>
      </c>
      <c r="R29" s="192">
        <v>1469.25</v>
      </c>
      <c r="S29" s="192">
        <v>1320.28</v>
      </c>
      <c r="T29" s="197">
        <v>-0.1014</v>
      </c>
      <c r="U29" s="200">
        <v>-9.0300000000000005E-2</v>
      </c>
      <c r="W29" s="82">
        <f t="shared" si="10"/>
        <v>0</v>
      </c>
      <c r="X29" s="82">
        <f t="shared" si="11"/>
        <v>0</v>
      </c>
      <c r="Y29" s="203" t="str">
        <f t="shared" si="6"/>
        <v/>
      </c>
      <c r="Z29" s="204">
        <f t="shared" si="7"/>
        <v>1.2768999999999997</v>
      </c>
      <c r="AA29" s="204">
        <f t="shared" si="8"/>
        <v>1.2768999999999997</v>
      </c>
      <c r="AB29" s="204">
        <f t="shared" si="9"/>
        <v>1.4114016059219998</v>
      </c>
    </row>
    <row r="30" spans="1:29" ht="15">
      <c r="B30" s="223">
        <v>35795</v>
      </c>
      <c r="C30" s="224">
        <v>0</v>
      </c>
      <c r="D30" s="224">
        <v>0</v>
      </c>
      <c r="E30" s="224"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90.07</v>
      </c>
      <c r="K30" s="224">
        <f>0</f>
        <v>0</v>
      </c>
      <c r="L30" s="224">
        <v>0</v>
      </c>
      <c r="M30" s="225">
        <v>0</v>
      </c>
      <c r="O30" s="222"/>
      <c r="Q30" s="192">
        <v>2001</v>
      </c>
      <c r="R30" s="192">
        <v>1320.28</v>
      </c>
      <c r="S30" s="192">
        <v>1148.08</v>
      </c>
      <c r="T30" s="197">
        <v>-0.13039999999999999</v>
      </c>
      <c r="U30" s="200">
        <v>-0.11849999999999999</v>
      </c>
      <c r="W30" s="82">
        <f t="shared" si="10"/>
        <v>0</v>
      </c>
      <c r="X30" s="82">
        <f t="shared" si="11"/>
        <v>0</v>
      </c>
      <c r="Y30" s="203" t="str">
        <f t="shared" si="6"/>
        <v/>
      </c>
      <c r="Z30" s="204">
        <f t="shared" si="7"/>
        <v>1.2768999999999997</v>
      </c>
      <c r="AA30" s="204">
        <f t="shared" si="8"/>
        <v>1.2768999999999997</v>
      </c>
      <c r="AB30" s="204">
        <f t="shared" si="9"/>
        <v>1.2441505156202428</v>
      </c>
    </row>
    <row r="31" spans="1:29" ht="15">
      <c r="B31" s="226">
        <v>36160</v>
      </c>
      <c r="C31" s="306">
        <v>10000</v>
      </c>
      <c r="D31" s="307">
        <v>147</v>
      </c>
      <c r="E31" s="307">
        <v>46</v>
      </c>
      <c r="F31" s="307">
        <v>135</v>
      </c>
      <c r="G31" s="307">
        <v>58</v>
      </c>
      <c r="H31" s="306">
        <v>12658</v>
      </c>
      <c r="I31" s="307">
        <v>111</v>
      </c>
      <c r="J31" s="227">
        <v>113.95</v>
      </c>
      <c r="K31" s="228">
        <f>C31+K30+F31</f>
        <v>10135</v>
      </c>
      <c r="L31" s="228">
        <f>MAX(0.2*(H31-K31),0)</f>
        <v>504.6</v>
      </c>
      <c r="M31" s="229">
        <f>H31-L31</f>
        <v>12153.4</v>
      </c>
      <c r="O31" s="236">
        <f>M31*O$29/10000</f>
        <v>-60767</v>
      </c>
      <c r="Q31" s="192">
        <v>2002</v>
      </c>
      <c r="R31" s="192">
        <v>1148.08</v>
      </c>
      <c r="S31" s="192">
        <v>879.82</v>
      </c>
      <c r="T31" s="197">
        <v>-0.23369999999999999</v>
      </c>
      <c r="U31" s="200">
        <v>-0.21970000000000001</v>
      </c>
      <c r="W31" s="82">
        <f t="shared" si="10"/>
        <v>0</v>
      </c>
      <c r="X31" s="82">
        <f t="shared" si="11"/>
        <v>0</v>
      </c>
      <c r="Y31" s="203" t="str">
        <f t="shared" si="6"/>
        <v/>
      </c>
      <c r="Z31" s="204">
        <f t="shared" si="7"/>
        <v>1.2768999999999997</v>
      </c>
      <c r="AA31" s="204">
        <f t="shared" si="8"/>
        <v>1.2768999999999997</v>
      </c>
      <c r="AB31" s="204">
        <f t="shared" si="9"/>
        <v>0.97081064733847544</v>
      </c>
    </row>
    <row r="32" spans="1:29" ht="15">
      <c r="B32" s="226">
        <v>36525</v>
      </c>
      <c r="C32" s="306">
        <v>10000</v>
      </c>
      <c r="D32" s="307">
        <v>277</v>
      </c>
      <c r="E32" s="307">
        <v>195</v>
      </c>
      <c r="F32" s="307">
        <v>342</v>
      </c>
      <c r="G32" s="307">
        <v>130</v>
      </c>
      <c r="H32" s="306">
        <v>26800</v>
      </c>
      <c r="I32" s="307">
        <v>198</v>
      </c>
      <c r="J32" s="227">
        <v>135.33000000000001</v>
      </c>
      <c r="K32" s="228">
        <f t="shared" ref="K32:K50" si="12">C32+K31+F32</f>
        <v>20477</v>
      </c>
      <c r="L32" s="228">
        <f t="shared" ref="L32:L50" si="13">MAX(0.2*(H32-K32),0)</f>
        <v>1264.6000000000001</v>
      </c>
      <c r="M32" s="229">
        <f t="shared" ref="M32:M50" si="14">H32-L32</f>
        <v>25535.4</v>
      </c>
      <c r="O32" s="236">
        <f t="shared" ref="O32:O50" si="15">M32*O$29/10000</f>
        <v>-127677</v>
      </c>
      <c r="Q32" s="192">
        <v>2003</v>
      </c>
      <c r="R32" s="192">
        <v>879.82</v>
      </c>
      <c r="S32" s="192">
        <v>1111.92</v>
      </c>
      <c r="T32" s="197">
        <v>0.26379999999999998</v>
      </c>
      <c r="U32" s="200">
        <v>0.28360000000000002</v>
      </c>
      <c r="W32" s="82">
        <f t="shared" si="10"/>
        <v>0.13</v>
      </c>
      <c r="X32" s="82">
        <f t="shared" si="11"/>
        <v>0.13</v>
      </c>
      <c r="Y32" s="203" t="str">
        <f t="shared" si="6"/>
        <v/>
      </c>
      <c r="Z32" s="204">
        <f t="shared" si="7"/>
        <v>1.4428969999999994</v>
      </c>
      <c r="AA32" s="204">
        <f t="shared" si="8"/>
        <v>1.4428969999999994</v>
      </c>
      <c r="AB32" s="204">
        <f t="shared" si="9"/>
        <v>1.246132546923667</v>
      </c>
    </row>
    <row r="33" spans="2:28" ht="15">
      <c r="B33" s="226">
        <v>36891</v>
      </c>
      <c r="C33" s="306">
        <v>10000</v>
      </c>
      <c r="D33" s="307">
        <v>359</v>
      </c>
      <c r="E33" s="307">
        <v>0</v>
      </c>
      <c r="F33" s="307">
        <v>241</v>
      </c>
      <c r="G33" s="307">
        <v>119</v>
      </c>
      <c r="H33" s="306">
        <v>33839</v>
      </c>
      <c r="I33" s="307">
        <v>278</v>
      </c>
      <c r="J33" s="227">
        <v>121.86</v>
      </c>
      <c r="K33" s="228">
        <f t="shared" si="12"/>
        <v>30718</v>
      </c>
      <c r="L33" s="228">
        <f t="shared" si="13"/>
        <v>624.20000000000005</v>
      </c>
      <c r="M33" s="229">
        <f t="shared" si="14"/>
        <v>33214.800000000003</v>
      </c>
      <c r="O33" s="236">
        <f t="shared" si="15"/>
        <v>-166074.00000000003</v>
      </c>
      <c r="Q33" s="192">
        <v>2004</v>
      </c>
      <c r="R33" s="192">
        <v>1111.92</v>
      </c>
      <c r="S33" s="192">
        <v>1211.92</v>
      </c>
      <c r="T33" s="197">
        <v>8.9899999999999994E-2</v>
      </c>
      <c r="U33" s="200">
        <v>0.1074</v>
      </c>
      <c r="W33" s="82">
        <f t="shared" si="10"/>
        <v>8.9899999999999994E-2</v>
      </c>
      <c r="X33" s="82">
        <f t="shared" si="11"/>
        <v>0.1074</v>
      </c>
      <c r="Y33" s="203" t="str">
        <f t="shared" si="6"/>
        <v>*</v>
      </c>
      <c r="Z33" s="204">
        <f t="shared" si="7"/>
        <v>1.5726134402999996</v>
      </c>
      <c r="AA33" s="204">
        <f t="shared" si="8"/>
        <v>1.5978641377999994</v>
      </c>
      <c r="AB33" s="204">
        <f t="shared" si="9"/>
        <v>1.3799671824632689</v>
      </c>
    </row>
    <row r="34" spans="2:28" ht="15">
      <c r="B34" s="226">
        <v>37256</v>
      </c>
      <c r="C34" s="306">
        <v>10000</v>
      </c>
      <c r="D34" s="307">
        <v>456</v>
      </c>
      <c r="E34" s="307">
        <v>0</v>
      </c>
      <c r="F34" s="307">
        <v>306</v>
      </c>
      <c r="G34" s="307">
        <v>151</v>
      </c>
      <c r="H34" s="306">
        <v>38111</v>
      </c>
      <c r="I34" s="307">
        <v>360</v>
      </c>
      <c r="J34" s="227">
        <v>105.89</v>
      </c>
      <c r="K34" s="228">
        <f t="shared" si="12"/>
        <v>41024</v>
      </c>
      <c r="L34" s="228">
        <f t="shared" si="13"/>
        <v>0</v>
      </c>
      <c r="M34" s="229">
        <f t="shared" si="14"/>
        <v>38111</v>
      </c>
      <c r="O34" s="236">
        <f t="shared" si="15"/>
        <v>-190555</v>
      </c>
      <c r="Q34" s="192">
        <v>2005</v>
      </c>
      <c r="R34" s="192">
        <v>1211.92</v>
      </c>
      <c r="S34" s="192">
        <v>1248.29</v>
      </c>
      <c r="T34" s="197">
        <v>0.03</v>
      </c>
      <c r="U34" s="200">
        <v>4.8300000000000003E-2</v>
      </c>
      <c r="W34" s="82">
        <f t="shared" si="10"/>
        <v>0.03</v>
      </c>
      <c r="X34" s="82">
        <f t="shared" si="11"/>
        <v>4.8300000000000003E-2</v>
      </c>
      <c r="Y34" s="203" t="str">
        <f t="shared" si="6"/>
        <v>*</v>
      </c>
      <c r="Z34" s="204">
        <f t="shared" si="7"/>
        <v>1.6197918435089997</v>
      </c>
      <c r="AA34" s="204">
        <f t="shared" si="8"/>
        <v>1.6750409756557394</v>
      </c>
      <c r="AB34" s="204">
        <f t="shared" si="9"/>
        <v>1.4466195973762448</v>
      </c>
    </row>
    <row r="35" spans="2:28" ht="15">
      <c r="B35" s="226">
        <v>37621</v>
      </c>
      <c r="C35" s="306">
        <v>10000</v>
      </c>
      <c r="D35" s="307">
        <v>622</v>
      </c>
      <c r="E35" s="307">
        <v>0</v>
      </c>
      <c r="F35" s="307">
        <v>417</v>
      </c>
      <c r="G35" s="307">
        <v>205</v>
      </c>
      <c r="H35" s="306">
        <v>37378</v>
      </c>
      <c r="I35" s="307">
        <v>461</v>
      </c>
      <c r="J35" s="227">
        <v>81.150000000000006</v>
      </c>
      <c r="K35" s="228">
        <f t="shared" si="12"/>
        <v>51441</v>
      </c>
      <c r="L35" s="228">
        <f t="shared" si="13"/>
        <v>0</v>
      </c>
      <c r="M35" s="229">
        <f t="shared" si="14"/>
        <v>37378</v>
      </c>
      <c r="O35" s="236">
        <f t="shared" si="15"/>
        <v>-186890</v>
      </c>
      <c r="Q35" s="192">
        <v>2006</v>
      </c>
      <c r="R35" s="192">
        <v>1248.29</v>
      </c>
      <c r="S35" s="192">
        <v>1418.3</v>
      </c>
      <c r="T35" s="197">
        <v>0.13619999999999999</v>
      </c>
      <c r="U35" s="200">
        <v>0.15609999999999999</v>
      </c>
      <c r="W35" s="82">
        <f t="shared" si="10"/>
        <v>0.13</v>
      </c>
      <c r="X35" s="82">
        <f t="shared" si="11"/>
        <v>0.13</v>
      </c>
      <c r="Y35" s="203" t="str">
        <f t="shared" si="6"/>
        <v/>
      </c>
      <c r="Z35" s="204">
        <f t="shared" si="7"/>
        <v>1.8303647831651695</v>
      </c>
      <c r="AA35" s="204">
        <f t="shared" si="8"/>
        <v>1.8927963024909853</v>
      </c>
      <c r="AB35" s="204">
        <f t="shared" si="9"/>
        <v>1.6724369165266764</v>
      </c>
    </row>
    <row r="36" spans="2:28" ht="15">
      <c r="B36" s="226">
        <v>37986</v>
      </c>
      <c r="C36" s="306">
        <v>10000</v>
      </c>
      <c r="D36" s="307">
        <v>843</v>
      </c>
      <c r="E36" s="307">
        <v>0</v>
      </c>
      <c r="F36" s="307">
        <v>565</v>
      </c>
      <c r="G36" s="307">
        <v>278</v>
      </c>
      <c r="H36" s="306">
        <v>60915</v>
      </c>
      <c r="I36" s="307">
        <v>593</v>
      </c>
      <c r="J36" s="227">
        <v>102.67</v>
      </c>
      <c r="K36" s="228">
        <f t="shared" si="12"/>
        <v>62006</v>
      </c>
      <c r="L36" s="228">
        <f t="shared" si="13"/>
        <v>0</v>
      </c>
      <c r="M36" s="229">
        <f t="shared" si="14"/>
        <v>60915</v>
      </c>
      <c r="O36" s="236">
        <f t="shared" si="15"/>
        <v>-304575</v>
      </c>
      <c r="Q36" s="192">
        <v>2007</v>
      </c>
      <c r="R36" s="192">
        <v>1418.3</v>
      </c>
      <c r="S36" s="192">
        <v>1468.36</v>
      </c>
      <c r="T36" s="197">
        <v>3.5299999999999998E-2</v>
      </c>
      <c r="U36" s="200">
        <v>5.4800000000000001E-2</v>
      </c>
      <c r="W36" s="82">
        <f t="shared" si="10"/>
        <v>3.5299999999999998E-2</v>
      </c>
      <c r="X36" s="82">
        <f t="shared" si="11"/>
        <v>5.4800000000000001E-2</v>
      </c>
      <c r="Y36" s="203" t="str">
        <f t="shared" si="6"/>
        <v>*</v>
      </c>
      <c r="Z36" s="204">
        <f t="shared" si="7"/>
        <v>1.8949766600108997</v>
      </c>
      <c r="AA36" s="204">
        <f t="shared" si="8"/>
        <v>1.9965215398674911</v>
      </c>
      <c r="AB36" s="204">
        <f t="shared" si="9"/>
        <v>1.7640864595523382</v>
      </c>
    </row>
    <row r="37" spans="2:28" ht="15">
      <c r="B37" s="226">
        <v>38352</v>
      </c>
      <c r="C37" s="306">
        <v>10000</v>
      </c>
      <c r="D37" s="306">
        <v>1350</v>
      </c>
      <c r="E37" s="307">
        <v>0</v>
      </c>
      <c r="F37" s="307">
        <v>904</v>
      </c>
      <c r="G37" s="307">
        <v>445</v>
      </c>
      <c r="H37" s="306">
        <v>77864</v>
      </c>
      <c r="I37" s="307">
        <v>697</v>
      </c>
      <c r="J37" s="227">
        <v>111.64</v>
      </c>
      <c r="K37" s="228">
        <f t="shared" si="12"/>
        <v>72910</v>
      </c>
      <c r="L37" s="228">
        <f t="shared" si="13"/>
        <v>990.80000000000007</v>
      </c>
      <c r="M37" s="229">
        <f t="shared" si="14"/>
        <v>76873.2</v>
      </c>
      <c r="O37" s="236">
        <f t="shared" si="15"/>
        <v>-384366</v>
      </c>
      <c r="Q37" s="192">
        <v>2008</v>
      </c>
      <c r="R37" s="192">
        <v>1468.36</v>
      </c>
      <c r="S37" s="192">
        <v>903.25</v>
      </c>
      <c r="T37" s="197">
        <v>-0.38490000000000002</v>
      </c>
      <c r="U37" s="200">
        <v>-0.36549999999999999</v>
      </c>
      <c r="W37" s="82">
        <f t="shared" si="10"/>
        <v>0</v>
      </c>
      <c r="X37" s="82">
        <f t="shared" si="11"/>
        <v>0</v>
      </c>
      <c r="Y37" s="203" t="str">
        <f t="shared" si="6"/>
        <v/>
      </c>
      <c r="Z37" s="204">
        <f t="shared" si="7"/>
        <v>1.8949766600108997</v>
      </c>
      <c r="AA37" s="204">
        <f t="shared" si="8"/>
        <v>1.9965215398674911</v>
      </c>
      <c r="AB37" s="204">
        <f t="shared" si="9"/>
        <v>1.1193128585859586</v>
      </c>
    </row>
    <row r="38" spans="2:28" ht="15">
      <c r="B38" s="226">
        <v>38717</v>
      </c>
      <c r="C38" s="306">
        <v>10000</v>
      </c>
      <c r="D38" s="306">
        <v>1570</v>
      </c>
      <c r="E38" s="307">
        <v>0</v>
      </c>
      <c r="F38" s="306">
        <v>1052</v>
      </c>
      <c r="G38" s="307">
        <v>518</v>
      </c>
      <c r="H38" s="306">
        <v>91786</v>
      </c>
      <c r="I38" s="307">
        <v>799</v>
      </c>
      <c r="J38" s="227">
        <v>114.92</v>
      </c>
      <c r="K38" s="228">
        <f t="shared" si="12"/>
        <v>83962</v>
      </c>
      <c r="L38" s="228">
        <f t="shared" si="13"/>
        <v>1564.8000000000002</v>
      </c>
      <c r="M38" s="229">
        <f t="shared" si="14"/>
        <v>90221.2</v>
      </c>
      <c r="O38" s="236">
        <f t="shared" si="15"/>
        <v>-451106</v>
      </c>
      <c r="Q38" s="192">
        <v>2009</v>
      </c>
      <c r="R38" s="192">
        <v>903.25</v>
      </c>
      <c r="S38" s="192">
        <v>1115.0999999999999</v>
      </c>
      <c r="T38" s="197">
        <v>0.23449999999999999</v>
      </c>
      <c r="U38" s="200">
        <v>0.25940000000000002</v>
      </c>
      <c r="W38" s="82">
        <f t="shared" si="10"/>
        <v>0.13</v>
      </c>
      <c r="X38" s="82">
        <f t="shared" si="11"/>
        <v>0.13</v>
      </c>
      <c r="Y38" s="203" t="str">
        <f t="shared" si="6"/>
        <v/>
      </c>
      <c r="Z38" s="204">
        <f t="shared" si="7"/>
        <v>2.1413236258123165</v>
      </c>
      <c r="AA38" s="204">
        <f t="shared" si="8"/>
        <v>2.2560693400502649</v>
      </c>
      <c r="AB38" s="204">
        <f t="shared" si="9"/>
        <v>1.4096626141031563</v>
      </c>
    </row>
    <row r="39" spans="2:28" ht="15">
      <c r="B39" s="226">
        <v>39082</v>
      </c>
      <c r="C39" s="306">
        <v>10000</v>
      </c>
      <c r="D39" s="306">
        <v>1899</v>
      </c>
      <c r="E39" s="307">
        <v>0</v>
      </c>
      <c r="F39" s="306">
        <v>1272</v>
      </c>
      <c r="G39" s="307">
        <v>627</v>
      </c>
      <c r="H39" s="306">
        <v>116734</v>
      </c>
      <c r="I39" s="307">
        <v>894</v>
      </c>
      <c r="J39" s="227">
        <v>130.59</v>
      </c>
      <c r="K39" s="228">
        <f t="shared" si="12"/>
        <v>95234</v>
      </c>
      <c r="L39" s="228">
        <f t="shared" si="13"/>
        <v>4300</v>
      </c>
      <c r="M39" s="229">
        <f t="shared" si="14"/>
        <v>112434</v>
      </c>
      <c r="O39" s="236">
        <f t="shared" si="15"/>
        <v>-562170</v>
      </c>
      <c r="Q39" s="192">
        <v>2010</v>
      </c>
      <c r="R39" s="192">
        <v>1115.0999999999999</v>
      </c>
      <c r="S39" s="192">
        <v>1257.6400000000001</v>
      </c>
      <c r="T39" s="197">
        <v>0.1278</v>
      </c>
      <c r="U39" s="200">
        <v>0.1482</v>
      </c>
      <c r="W39" s="82">
        <f>IF(T39&gt;W$2,W$2,IF(T39&lt;X$2,X$2,T39))</f>
        <v>0.1278</v>
      </c>
      <c r="X39" s="82">
        <f>IF(U39&gt;W$2,W$2,IF(U39&lt;X$2,X$2,U39))</f>
        <v>0.13</v>
      </c>
      <c r="Y39" s="203" t="str">
        <f t="shared" si="6"/>
        <v>*</v>
      </c>
      <c r="Z39" s="204">
        <f t="shared" si="7"/>
        <v>2.4149847851911304</v>
      </c>
      <c r="AA39" s="204">
        <f t="shared" si="8"/>
        <v>2.5493583542567992</v>
      </c>
      <c r="AB39" s="204">
        <f t="shared" si="9"/>
        <v>1.6185746135132442</v>
      </c>
    </row>
    <row r="40" spans="2:28" ht="15">
      <c r="B40" s="226">
        <v>39447</v>
      </c>
      <c r="C40" s="306">
        <v>10000</v>
      </c>
      <c r="D40" s="306">
        <v>2425</v>
      </c>
      <c r="E40" s="307">
        <v>0</v>
      </c>
      <c r="F40" s="306">
        <v>1625</v>
      </c>
      <c r="G40" s="307">
        <v>800</v>
      </c>
      <c r="H40" s="306">
        <v>132611</v>
      </c>
      <c r="I40" s="307">
        <v>981</v>
      </c>
      <c r="J40" s="227">
        <v>135.15</v>
      </c>
      <c r="K40" s="228">
        <f t="shared" si="12"/>
        <v>106859</v>
      </c>
      <c r="L40" s="228">
        <f t="shared" si="13"/>
        <v>5150.4000000000005</v>
      </c>
      <c r="M40" s="229">
        <f t="shared" si="14"/>
        <v>127460.6</v>
      </c>
      <c r="O40" s="236">
        <f t="shared" si="15"/>
        <v>-637303</v>
      </c>
      <c r="Q40" s="192">
        <v>2011</v>
      </c>
      <c r="R40" s="192">
        <v>1257.6400000000001</v>
      </c>
      <c r="S40" s="192">
        <v>1257.5999999999999</v>
      </c>
      <c r="T40" s="197">
        <v>0</v>
      </c>
      <c r="U40" s="200">
        <v>2.1000000000000001E-2</v>
      </c>
      <c r="W40" s="82">
        <f t="shared" ref="W40:W46" si="16">IF(T40&gt;W$2,W$2,IF(T40&lt;X$2,X$2,T40))</f>
        <v>0</v>
      </c>
      <c r="X40" s="82">
        <f t="shared" ref="X40:X46" si="17">IF(U40&gt;W$2,W$2,IF(U40&lt;X$2,X$2,U40))</f>
        <v>2.1000000000000001E-2</v>
      </c>
      <c r="Y40" s="203" t="str">
        <f t="shared" si="6"/>
        <v>*</v>
      </c>
      <c r="Z40" s="204">
        <f t="shared" si="7"/>
        <v>2.4149847851911304</v>
      </c>
      <c r="AA40" s="204">
        <f t="shared" si="8"/>
        <v>2.6028948796961919</v>
      </c>
      <c r="AB40" s="204">
        <f t="shared" si="9"/>
        <v>1.6525646803970222</v>
      </c>
    </row>
    <row r="41" spans="2:28" ht="15">
      <c r="B41" s="226">
        <v>39813</v>
      </c>
      <c r="C41" s="307">
        <v>0</v>
      </c>
      <c r="D41" s="306">
        <v>2471</v>
      </c>
      <c r="E41" s="307">
        <v>0</v>
      </c>
      <c r="F41" s="306">
        <v>1656</v>
      </c>
      <c r="G41" s="307">
        <v>815</v>
      </c>
      <c r="H41" s="306">
        <v>82857</v>
      </c>
      <c r="I41" s="307">
        <v>997</v>
      </c>
      <c r="J41" s="227">
        <v>83.09</v>
      </c>
      <c r="K41" s="228">
        <f t="shared" si="12"/>
        <v>108515</v>
      </c>
      <c r="L41" s="228">
        <f t="shared" si="13"/>
        <v>0</v>
      </c>
      <c r="M41" s="229">
        <f t="shared" si="14"/>
        <v>82857</v>
      </c>
      <c r="O41" s="236">
        <f t="shared" si="15"/>
        <v>-414285</v>
      </c>
      <c r="Q41" s="192">
        <v>2012</v>
      </c>
      <c r="R41" s="192">
        <v>1257.5999999999999</v>
      </c>
      <c r="S41" s="192">
        <v>1426.19</v>
      </c>
      <c r="T41" s="197">
        <v>0.1341</v>
      </c>
      <c r="U41" s="200">
        <v>0.15890000000000001</v>
      </c>
      <c r="W41" s="82">
        <f t="shared" si="16"/>
        <v>0.13</v>
      </c>
      <c r="X41" s="82">
        <f t="shared" si="17"/>
        <v>0.13</v>
      </c>
      <c r="Y41" s="203" t="str">
        <f t="shared" si="6"/>
        <v/>
      </c>
      <c r="Z41" s="204">
        <f t="shared" si="7"/>
        <v>2.7289328072659771</v>
      </c>
      <c r="AA41" s="204">
        <f t="shared" si="8"/>
        <v>2.9412712140566968</v>
      </c>
      <c r="AB41" s="204">
        <f t="shared" si="9"/>
        <v>1.9151572081121091</v>
      </c>
    </row>
    <row r="42" spans="2:28" ht="15">
      <c r="B42" s="226">
        <v>40178</v>
      </c>
      <c r="C42" s="307">
        <v>0</v>
      </c>
      <c r="D42" s="306">
        <v>2112</v>
      </c>
      <c r="E42" s="307">
        <v>0</v>
      </c>
      <c r="F42" s="306">
        <v>1415</v>
      </c>
      <c r="G42" s="307">
        <v>697</v>
      </c>
      <c r="H42" s="306">
        <v>103999</v>
      </c>
      <c r="I42" s="306">
        <v>1013</v>
      </c>
      <c r="J42" s="227">
        <v>102.67</v>
      </c>
      <c r="K42" s="228">
        <f t="shared" si="12"/>
        <v>109930</v>
      </c>
      <c r="L42" s="228">
        <f t="shared" si="13"/>
        <v>0</v>
      </c>
      <c r="M42" s="229">
        <f t="shared" si="14"/>
        <v>103999</v>
      </c>
      <c r="O42" s="236">
        <f t="shared" si="15"/>
        <v>-519995</v>
      </c>
      <c r="Q42" s="192">
        <v>2013</v>
      </c>
      <c r="R42" s="192">
        <v>1426.19</v>
      </c>
      <c r="S42" s="192">
        <v>1848.36</v>
      </c>
      <c r="T42" s="197">
        <v>0.29599999999999999</v>
      </c>
      <c r="U42" s="200">
        <v>0.32150000000000001</v>
      </c>
      <c r="W42" s="82">
        <f t="shared" si="16"/>
        <v>0.13</v>
      </c>
      <c r="X42" s="82">
        <f t="shared" si="17"/>
        <v>0.13</v>
      </c>
      <c r="Y42" s="203" t="str">
        <f t="shared" si="6"/>
        <v/>
      </c>
      <c r="Z42" s="204">
        <f t="shared" si="7"/>
        <v>3.0836940722105539</v>
      </c>
      <c r="AA42" s="204">
        <f t="shared" si="8"/>
        <v>3.323636471884067</v>
      </c>
      <c r="AB42" s="204">
        <f t="shared" si="9"/>
        <v>2.530880250520152</v>
      </c>
    </row>
    <row r="43" spans="2:28" ht="15">
      <c r="B43" s="226">
        <v>40543</v>
      </c>
      <c r="C43" s="307">
        <v>0</v>
      </c>
      <c r="D43" s="306">
        <v>2001</v>
      </c>
      <c r="E43" s="307">
        <v>0</v>
      </c>
      <c r="F43" s="306">
        <v>1341</v>
      </c>
      <c r="G43" s="307">
        <v>660</v>
      </c>
      <c r="H43" s="306">
        <v>118783</v>
      </c>
      <c r="I43" s="306">
        <v>1026</v>
      </c>
      <c r="J43" s="227">
        <v>115.82</v>
      </c>
      <c r="K43" s="228">
        <f t="shared" si="12"/>
        <v>111271</v>
      </c>
      <c r="L43" s="228">
        <f t="shared" si="13"/>
        <v>1502.4</v>
      </c>
      <c r="M43" s="229">
        <f t="shared" si="14"/>
        <v>117280.6</v>
      </c>
      <c r="O43" s="236">
        <f t="shared" si="15"/>
        <v>-586403</v>
      </c>
      <c r="Q43" s="192">
        <v>2014</v>
      </c>
      <c r="R43" s="192">
        <v>1848.36</v>
      </c>
      <c r="S43" s="192">
        <v>2058.9</v>
      </c>
      <c r="T43" s="197">
        <v>0.1139</v>
      </c>
      <c r="U43" s="200">
        <v>0.13519999999999999</v>
      </c>
      <c r="W43" s="82">
        <f t="shared" si="16"/>
        <v>0.1139</v>
      </c>
      <c r="X43" s="82">
        <f t="shared" si="17"/>
        <v>0.13</v>
      </c>
      <c r="Y43" s="203" t="str">
        <f t="shared" si="6"/>
        <v>*</v>
      </c>
      <c r="Z43" s="204">
        <f t="shared" si="7"/>
        <v>3.4349268270353361</v>
      </c>
      <c r="AA43" s="204">
        <f t="shared" si="8"/>
        <v>3.7557092132289953</v>
      </c>
      <c r="AB43" s="204">
        <f t="shared" si="9"/>
        <v>2.8730552603904767</v>
      </c>
    </row>
    <row r="44" spans="2:28" ht="15">
      <c r="B44" s="226">
        <v>40908</v>
      </c>
      <c r="C44" s="307">
        <v>0</v>
      </c>
      <c r="D44" s="306">
        <v>2315</v>
      </c>
      <c r="E44" s="307">
        <v>0</v>
      </c>
      <c r="F44" s="306">
        <v>1551</v>
      </c>
      <c r="G44" s="307">
        <v>764</v>
      </c>
      <c r="H44" s="306">
        <v>120337</v>
      </c>
      <c r="I44" s="306">
        <v>1039</v>
      </c>
      <c r="J44" s="227">
        <v>115.8</v>
      </c>
      <c r="K44" s="228">
        <f t="shared" si="12"/>
        <v>112822</v>
      </c>
      <c r="L44" s="228">
        <f t="shared" si="13"/>
        <v>1503</v>
      </c>
      <c r="M44" s="229">
        <f t="shared" si="14"/>
        <v>118834</v>
      </c>
      <c r="O44" s="236">
        <f t="shared" si="15"/>
        <v>-594170</v>
      </c>
      <c r="Q44" s="192">
        <v>2015</v>
      </c>
      <c r="R44" s="192">
        <v>2058.9</v>
      </c>
      <c r="S44" s="192">
        <v>2043.94</v>
      </c>
      <c r="T44" s="197">
        <v>-7.3000000000000001E-3</v>
      </c>
      <c r="U44" s="200">
        <v>1.38E-2</v>
      </c>
      <c r="W44" s="82">
        <f t="shared" si="16"/>
        <v>0</v>
      </c>
      <c r="X44" s="82">
        <f t="shared" si="17"/>
        <v>1.38E-2</v>
      </c>
      <c r="Y44" s="203" t="str">
        <f t="shared" si="6"/>
        <v>*</v>
      </c>
      <c r="Z44" s="204">
        <f t="shared" si="7"/>
        <v>3.4349268270353361</v>
      </c>
      <c r="AA44" s="204">
        <f t="shared" si="8"/>
        <v>3.8075380003715558</v>
      </c>
      <c r="AB44" s="204">
        <f t="shared" si="9"/>
        <v>2.9127034229838653</v>
      </c>
    </row>
    <row r="45" spans="2:28" ht="15">
      <c r="B45" s="226">
        <v>41274</v>
      </c>
      <c r="C45" s="307">
        <v>0</v>
      </c>
      <c r="D45" s="306">
        <v>2819</v>
      </c>
      <c r="E45" s="307">
        <v>0</v>
      </c>
      <c r="F45" s="306">
        <v>1889</v>
      </c>
      <c r="G45" s="307">
        <v>930</v>
      </c>
      <c r="H45" s="306">
        <v>138431</v>
      </c>
      <c r="I45" s="306">
        <v>1054</v>
      </c>
      <c r="J45" s="227">
        <v>131.37</v>
      </c>
      <c r="K45" s="228">
        <f t="shared" si="12"/>
        <v>114711</v>
      </c>
      <c r="L45" s="228">
        <f t="shared" si="13"/>
        <v>4744</v>
      </c>
      <c r="M45" s="229">
        <f t="shared" si="14"/>
        <v>133687</v>
      </c>
      <c r="O45" s="236">
        <f t="shared" si="15"/>
        <v>-668435</v>
      </c>
      <c r="Q45" s="192">
        <v>2016</v>
      </c>
      <c r="R45" s="192">
        <v>2043.94</v>
      </c>
      <c r="S45" s="192">
        <v>2238.83</v>
      </c>
      <c r="T45" s="197">
        <v>9.5399999999999999E-2</v>
      </c>
      <c r="U45" s="200">
        <v>0.1174</v>
      </c>
      <c r="W45" s="82">
        <f t="shared" si="16"/>
        <v>9.5399999999999999E-2</v>
      </c>
      <c r="X45" s="82">
        <f t="shared" si="17"/>
        <v>0.1174</v>
      </c>
      <c r="Y45" s="203" t="str">
        <f t="shared" si="6"/>
        <v>*</v>
      </c>
      <c r="Z45" s="204">
        <f t="shared" si="7"/>
        <v>3.7626188463345072</v>
      </c>
      <c r="AA45" s="204">
        <f t="shared" si="8"/>
        <v>4.2545429616151766</v>
      </c>
      <c r="AB45" s="204">
        <f t="shared" si="9"/>
        <v>3.2546548048421711</v>
      </c>
    </row>
    <row r="46" spans="2:28" ht="15.6" thickBot="1">
      <c r="B46" s="226">
        <v>41639</v>
      </c>
      <c r="C46" s="307">
        <v>0</v>
      </c>
      <c r="D46" s="306">
        <v>3122</v>
      </c>
      <c r="E46" s="307">
        <v>0</v>
      </c>
      <c r="F46" s="306">
        <v>2092</v>
      </c>
      <c r="G46" s="306">
        <v>1030</v>
      </c>
      <c r="H46" s="306">
        <v>181826</v>
      </c>
      <c r="I46" s="306">
        <v>1067</v>
      </c>
      <c r="J46" s="227">
        <v>170.36</v>
      </c>
      <c r="K46" s="228">
        <f t="shared" si="12"/>
        <v>116803</v>
      </c>
      <c r="L46" s="228">
        <f t="shared" si="13"/>
        <v>13004.6</v>
      </c>
      <c r="M46" s="229">
        <f t="shared" si="14"/>
        <v>168821.4</v>
      </c>
      <c r="O46" s="236">
        <f t="shared" si="15"/>
        <v>-844107</v>
      </c>
      <c r="Q46" s="192">
        <v>2017</v>
      </c>
      <c r="R46" s="192">
        <v>2238.83</v>
      </c>
      <c r="S46" s="192">
        <v>2673.61</v>
      </c>
      <c r="T46" s="197">
        <v>0.19420000000000001</v>
      </c>
      <c r="U46" s="201">
        <v>0.21829999999999999</v>
      </c>
      <c r="W46" s="82">
        <f t="shared" si="16"/>
        <v>0.13</v>
      </c>
      <c r="X46" s="82">
        <f t="shared" si="17"/>
        <v>0.13</v>
      </c>
      <c r="Y46" s="203" t="str">
        <f t="shared" si="6"/>
        <v/>
      </c>
      <c r="Z46" s="204">
        <f t="shared" si="7"/>
        <v>4.2517592963579931</v>
      </c>
      <c r="AA46" s="204">
        <f t="shared" si="8"/>
        <v>4.8076335466251487</v>
      </c>
      <c r="AB46" s="204">
        <f t="shared" si="9"/>
        <v>3.9651459487392167</v>
      </c>
    </row>
    <row r="47" spans="2:28" ht="15">
      <c r="B47" s="226">
        <v>42004</v>
      </c>
      <c r="C47" s="307">
        <v>0</v>
      </c>
      <c r="D47" s="306">
        <v>3542</v>
      </c>
      <c r="E47" s="307">
        <v>0</v>
      </c>
      <c r="F47" s="306">
        <v>2373</v>
      </c>
      <c r="G47" s="306">
        <v>1169</v>
      </c>
      <c r="H47" s="306">
        <v>205155</v>
      </c>
      <c r="I47" s="306">
        <v>1080</v>
      </c>
      <c r="J47" s="227">
        <v>189.89</v>
      </c>
      <c r="K47" s="228">
        <f t="shared" si="12"/>
        <v>119176</v>
      </c>
      <c r="L47" s="228">
        <f t="shared" si="13"/>
        <v>17195.8</v>
      </c>
      <c r="M47" s="229">
        <f t="shared" si="14"/>
        <v>187959.2</v>
      </c>
      <c r="O47" s="236">
        <f t="shared" si="15"/>
        <v>-939796</v>
      </c>
    </row>
    <row r="48" spans="2:28" ht="15">
      <c r="B48" s="226">
        <v>42369</v>
      </c>
      <c r="C48" s="307">
        <v>0</v>
      </c>
      <c r="D48" s="306">
        <v>4068</v>
      </c>
      <c r="E48" s="307">
        <v>0</v>
      </c>
      <c r="F48" s="306">
        <v>2726</v>
      </c>
      <c r="G48" s="306">
        <v>1342</v>
      </c>
      <c r="H48" s="306">
        <v>206362</v>
      </c>
      <c r="I48" s="306">
        <v>1095</v>
      </c>
      <c r="J48" s="227">
        <v>188.48</v>
      </c>
      <c r="K48" s="228">
        <f t="shared" si="12"/>
        <v>121902</v>
      </c>
      <c r="L48" s="228">
        <f t="shared" si="13"/>
        <v>16892</v>
      </c>
      <c r="M48" s="229">
        <f t="shared" si="14"/>
        <v>189470</v>
      </c>
      <c r="O48" s="236">
        <f>M48*O$29/10000</f>
        <v>-947350</v>
      </c>
      <c r="Z48" t="s">
        <v>83</v>
      </c>
      <c r="AA48" s="82"/>
    </row>
    <row r="49" spans="2:28" ht="15">
      <c r="B49" s="226">
        <v>42735</v>
      </c>
      <c r="C49" s="307">
        <v>0</v>
      </c>
      <c r="D49" s="306">
        <v>4376</v>
      </c>
      <c r="E49" s="307">
        <v>0</v>
      </c>
      <c r="F49" s="306">
        <v>2932</v>
      </c>
      <c r="G49" s="306">
        <v>1444</v>
      </c>
      <c r="H49" s="306">
        <v>229229</v>
      </c>
      <c r="I49" s="306">
        <v>1110</v>
      </c>
      <c r="J49" s="227">
        <v>206.57</v>
      </c>
      <c r="K49" s="228">
        <f t="shared" si="12"/>
        <v>124834</v>
      </c>
      <c r="L49" s="228">
        <f t="shared" si="13"/>
        <v>20879</v>
      </c>
      <c r="M49" s="229">
        <f t="shared" si="14"/>
        <v>208350</v>
      </c>
      <c r="O49" s="236">
        <f t="shared" si="15"/>
        <v>-1041750</v>
      </c>
      <c r="Z49" s="205">
        <f>(Z46^(1/($Q46-$Q4+1))-1)</f>
        <v>3.4231773691008271E-2</v>
      </c>
      <c r="AA49" s="205">
        <f>(AA46^(1/($Q46-$Q4+1))-1)</f>
        <v>3.7191308434581405E-2</v>
      </c>
      <c r="AB49" s="205">
        <f>(AB46^(1/($Q46-$Q4+1))-1)</f>
        <v>3.2554548463767041E-2</v>
      </c>
    </row>
    <row r="50" spans="2:28" ht="15.6" thickBot="1">
      <c r="B50" s="230">
        <v>43100</v>
      </c>
      <c r="C50" s="308">
        <v>0</v>
      </c>
      <c r="D50" s="309">
        <v>4656</v>
      </c>
      <c r="E50" s="308">
        <v>0</v>
      </c>
      <c r="F50" s="309">
        <v>3120</v>
      </c>
      <c r="G50" s="309">
        <v>1537</v>
      </c>
      <c r="H50" s="309">
        <v>277239</v>
      </c>
      <c r="I50" s="309">
        <v>1123</v>
      </c>
      <c r="J50" s="231">
        <v>246.82</v>
      </c>
      <c r="K50" s="232">
        <f t="shared" si="12"/>
        <v>127954</v>
      </c>
      <c r="L50" s="232">
        <f t="shared" si="13"/>
        <v>29857</v>
      </c>
      <c r="M50" s="233">
        <f t="shared" si="14"/>
        <v>247382</v>
      </c>
      <c r="O50" s="236">
        <f t="shared" si="15"/>
        <v>-1236910</v>
      </c>
      <c r="Z50" s="76">
        <f>(Z46^(1/20)-1)</f>
        <v>7.5049430591748623E-2</v>
      </c>
      <c r="AA50" s="76">
        <f t="shared" ref="AA50:AB50" si="18">(AA46^(1/20)-1)</f>
        <v>8.1674441019379262E-2</v>
      </c>
      <c r="AB50" s="76">
        <f t="shared" si="18"/>
        <v>7.1304573279532102E-2</v>
      </c>
    </row>
    <row r="51" spans="2:28" ht="15">
      <c r="B51" s="234" t="s">
        <v>3572</v>
      </c>
      <c r="C51" s="235">
        <f>SUM(C31:C50)</f>
        <v>100000</v>
      </c>
      <c r="D51" s="234">
        <f>SUM(D31:D50)</f>
        <v>41430</v>
      </c>
      <c r="E51" s="234">
        <f t="shared" ref="E51:G51" si="19">SUM(E31:E50)</f>
        <v>241</v>
      </c>
      <c r="F51" s="234">
        <f t="shared" si="19"/>
        <v>27954</v>
      </c>
      <c r="G51" s="234">
        <f t="shared" si="19"/>
        <v>13719</v>
      </c>
      <c r="H51" s="212"/>
      <c r="I51" s="213"/>
      <c r="J51" s="213"/>
      <c r="K51" s="212"/>
      <c r="L51" s="212"/>
      <c r="M51" s="21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Investment</vt:lpstr>
      <vt:lpstr>FFIUL</vt:lpstr>
      <vt:lpstr>FLR-CAP</vt:lpstr>
      <vt:lpstr>2Brothers</vt:lpstr>
      <vt:lpstr>InvHouse</vt:lpstr>
      <vt:lpstr>EquityFunds</vt:lpstr>
      <vt:lpstr>Indexes</vt:lpstr>
      <vt:lpstr>SP500</vt:lpstr>
      <vt:lpstr>'2Brothers'!Print_Area</vt:lpstr>
    </vt:vector>
  </TitlesOfParts>
  <Company>Bell Atlantic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Bell Atlantic</dc:creator>
  <cp:lastModifiedBy>Mark Chen</cp:lastModifiedBy>
  <cp:lastPrinted>2006-08-24T02:18:28Z</cp:lastPrinted>
  <dcterms:created xsi:type="dcterms:W3CDTF">2005-06-01T15:01:10Z</dcterms:created>
  <dcterms:modified xsi:type="dcterms:W3CDTF">2021-11-24T03:11:45Z</dcterms:modified>
</cp:coreProperties>
</file>